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Key"/>
    <sheet r:id="rId2" sheetId="2" name="Data"/>
    <sheet r:id="rId3" sheetId="3" name="Weekly Data"/>
    <sheet r:id="rId4" sheetId="4" name="Reporting 2021"/>
    <sheet r:id="rId5" sheetId="5" name="Reporting 2022"/>
    <sheet r:id="rId6" sheetId="6" name="GRAPH NEW STRUCTURE"/>
    <sheet r:id="rId7" sheetId="7" name="Monthly Data"/>
    <sheet r:id="rId8" sheetId="8" name="Reporting"/>
    <sheet r:id="rId9" sheetId="9" name="AIA"/>
    <sheet r:id="rId10" sheetId="10" name="FCP+AIA"/>
    <sheet r:id="rId11" sheetId="11" name="Forecast 2020"/>
    <sheet r:id="rId12" sheetId="12" name="Daily Tracking"/>
    <sheet r:id="rId13" sheetId="13" name="Delivery Plan"/>
    <sheet r:id="rId14" sheetId="14" name="Reconciliation SOLUNE vs SAP"/>
    <sheet r:id="rId15" sheetId="15" name="GroupExport"/>
  </sheets>
  <definedNames>
    <definedName name="ASM">[1]Key!$H$2:$H$4</definedName>
    <definedName name="CAT">Key!$C$2:$C$14</definedName>
    <definedName name="CurrentYear" localSheetId="5">[1]Config!$A$1</definedName>
    <definedName name="CurrentYear" localSheetId="3">[1]Config!$A$1</definedName>
    <definedName name="CurrentYear" localSheetId="4">[1]Config!$A$1</definedName>
    <definedName name="Dstatus" localSheetId="5">[1]Key!$B$2:$B$7</definedName>
    <definedName name="Dstatus" localSheetId="3">[1]Key!$B$2:$B$7</definedName>
    <definedName name="Dstatus" localSheetId="4">[1]Key!$B$2:$B$7</definedName>
    <definedName name="Dstatus">Key!$D$2:$D$7</definedName>
    <definedName name="On_Site">Key!$N$2:$N$3</definedName>
    <definedName name="Raison_externalisation" localSheetId="5">[1]Key!$D$2:$D$9</definedName>
    <definedName name="Raison_externalisation" localSheetId="3">[1]Key!$D$2:$D$9</definedName>
    <definedName name="Raison_externalisation" localSheetId="4">[1]Key!$D$2:$D$9</definedName>
    <definedName name="Raison_externalisation">Key!$F$2:$F$9</definedName>
    <definedName name="Refuse" localSheetId="5">[1]Key!$C$2:$C$6</definedName>
    <definedName name="Refuse" localSheetId="3">[1]Key!$C$2:$C$6</definedName>
    <definedName name="Refuse" localSheetId="4">[1]Key!$C$2:$C$6</definedName>
    <definedName name="Refuse">Key!$E$2:$E$6</definedName>
    <definedName name="_xlnm.Print_Titles" localSheetId="1">'Data'!$1:$2</definedName>
    <definedName name="_xlnm.Print_Area" localSheetId="3">'Reporting 2021'!$A$1:$AK$60</definedName>
    <definedName name="_xlnm.Print_Area" localSheetId="4">'Reporting 2022'!$A$1:$AM$60</definedName>
    <definedName name="_xlnm._FilterDatabase" localSheetId="12">'Delivery Plan'!$A$3:$N$561</definedName>
  </definedNames>
  <calcPr fullCalcOnLoad="1"/>
</workbook>
</file>

<file path=xl/sharedStrings.xml><?xml version="1.0" encoding="utf-8"?>
<sst xmlns="http://schemas.openxmlformats.org/spreadsheetml/2006/main" count="2783" uniqueCount="1067">
  <si>
    <t>ENTITY</t>
  </si>
  <si>
    <t>CURR</t>
  </si>
  <si>
    <t>DIMENSION</t>
  </si>
  <si>
    <t>DIMENSION 2</t>
  </si>
  <si>
    <t>IC</t>
  </si>
  <si>
    <t>YEAR</t>
  </si>
  <si>
    <t>PG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</si>
  <si>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</si>
  <si>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</si>
  <si>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</si>
  <si>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</si>
  <si>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</si>
  <si>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</si>
  <si>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</si>
  <si>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</si>
  <si>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</si>
  <si>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</si>
  <si>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</si>
  <si>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</si>
  <si>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 YTD</t>
  </si>
  <si>
    <t>2 YTD</t>
  </si>
  <si>
    <t>3 YTD</t>
  </si>
  <si>
    <t>4 YTD</t>
  </si>
  <si>
    <t>5 YTD</t>
  </si>
  <si>
    <t>6 YTD</t>
  </si>
  <si>
    <t>7 YTD</t>
  </si>
  <si>
    <t>8 YTD</t>
  </si>
  <si>
    <t>9 YTD</t>
  </si>
  <si>
    <t>10 YTD</t>
  </si>
  <si>
    <t>11 YTD</t>
  </si>
  <si>
    <t>12 YTD</t>
  </si>
  <si>
    <t>Q1</t>
  </si>
  <si>
    <t>Q2</t>
  </si>
  <si>
    <t>Q3</t>
  </si>
  <si>
    <t>Q4</t>
  </si>
  <si>
    <t>S1</t>
  </si>
  <si>
    <t>S2</t>
  </si>
  <si>
    <t>VKGRP</t>
  </si>
  <si>
    <t>HYFR</t>
  </si>
  <si>
    <t>EUR</t>
  </si>
  <si>
    <t>ACT</t>
  </si>
  <si>
    <t>OI</t>
  </si>
  <si>
    <t>P034</t>
  </si>
  <si>
    <t>P014</t>
  </si>
  <si>
    <t>P001</t>
  </si>
  <si>
    <t>BrUms</t>
  </si>
  <si>
    <t>OB</t>
  </si>
  <si>
    <t>JZ:</t>
  </si>
  <si>
    <t xml:space="preserve">OB ist der Jahreswert und die Veränderung, damit es zu den Daten aus QlikView passt. 2020 noch nicht aktualisiert. -&gt; Beim nächsten Probelauf prüfen aber eher unkritisch, </t>
  </si>
  <si>
    <t>Im neuen Jahr neue Datei wenn Prozess gleich bleibt. "YEAR" ändern und prüfen.</t>
  </si>
  <si>
    <t>Revenue reconciliation SOLUNE vs SAP</t>
  </si>
  <si>
    <t>Sum</t>
  </si>
  <si>
    <t>Revenue SOLUNE</t>
  </si>
  <si>
    <t>-Booked in SOLUNE but not in SAP</t>
  </si>
  <si>
    <t>Revenue in SOLUNE</t>
  </si>
  <si>
    <t>Revenue in SAP</t>
  </si>
  <si>
    <t xml:space="preserve">+Booked in SAP but not in SOLUNE </t>
  </si>
  <si>
    <t>Revenue SAP</t>
  </si>
  <si>
    <t>Document</t>
  </si>
  <si>
    <t>Date</t>
  </si>
  <si>
    <t>Amount</t>
  </si>
  <si>
    <t>Reconciled</t>
  </si>
  <si>
    <t>Bezeichnung</t>
  </si>
  <si>
    <t>Customer</t>
  </si>
  <si>
    <t>Control</t>
  </si>
  <si>
    <t>difference SAP / SOLUNE</t>
  </si>
  <si>
    <t>reasons</t>
  </si>
  <si>
    <t>correction / void</t>
  </si>
  <si>
    <t>Engineering</t>
  </si>
  <si>
    <t>AIA - Engineering</t>
  </si>
  <si>
    <t>to clarify</t>
  </si>
  <si>
    <t>C O M M A N D E S / O R D E R S</t>
  </si>
  <si>
    <t>L I V R A S O N S</t>
  </si>
  <si>
    <t>Nb. of</t>
  </si>
  <si>
    <t>Client</t>
  </si>
  <si>
    <t>Status</t>
  </si>
  <si>
    <t>CW</t>
  </si>
  <si>
    <t>Date Cmde</t>
  </si>
  <si>
    <t>Cmde N°</t>
  </si>
  <si>
    <t>C Montant € HT</t>
  </si>
  <si>
    <t>Délai (semaines)</t>
  </si>
  <si>
    <t>Date Liv. Réelle</t>
  </si>
  <si>
    <t>Date Liv. Prévue</t>
  </si>
  <si>
    <t>parts</t>
  </si>
  <si>
    <t>Product Description</t>
  </si>
  <si>
    <t>DAILY TRACKING</t>
  </si>
  <si>
    <t>Total</t>
  </si>
  <si>
    <t>FCP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</si>
  <si>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</si>
  <si>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</si>
  <si>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</si>
  <si>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</si>
  <si>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</si>
  <si>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</si>
  <si>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</si>
  <si>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</si>
  <si>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</si>
  <si>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</si>
  <si>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</si>
  <si>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</si>
  <si>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</si>
  <si>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</si>
  <si>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</si>
  <si>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</si>
  <si>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</si>
  <si>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</si>
  <si>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</si>
  <si>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</si>
  <si>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</si>
  <si>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</si>
  <si>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</si>
  <si>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</si>
  <si>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</si>
  <si>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</si>
  <si>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</si>
  <si>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</si>
  <si>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</si>
  <si>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</si>
  <si>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</si>
  <si>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</si>
  <si>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</si>
  <si>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</si>
  <si>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</si>
  <si>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</si>
  <si>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</si>
  <si>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</si>
  <si>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</si>
  <si>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</si>
  <si>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</si>
  <si>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</si>
  <si>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</si>
  <si>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</si>
  <si>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</si>
  <si>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</si>
  <si>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</si>
  <si>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</si>
  <si>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</si>
  <si>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</si>
  <si>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</si>
  <si>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</si>
  <si>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Devis</t>
  </si>
  <si>
    <t>Cmde</t>
  </si>
  <si>
    <t>CA</t>
  </si>
  <si>
    <t>Avge Target Cmde</t>
  </si>
  <si>
    <t>Avge. Target CA</t>
  </si>
  <si>
    <t>Diff Cmde</t>
  </si>
  <si>
    <t>Cum. Devis</t>
  </si>
  <si>
    <t>Cum. Cmde</t>
  </si>
  <si>
    <t>Cum. CA</t>
  </si>
  <si>
    <t>Backlog</t>
  </si>
  <si>
    <t>FCP KPIs</t>
  </si>
  <si>
    <t>Reactivity 
PPU</t>
  </si>
  <si>
    <t>Accu. Average RfQ-Quote</t>
  </si>
  <si>
    <t>Max RfQ-Quote (days)</t>
  </si>
  <si>
    <t>Délai Livraison</t>
  </si>
  <si>
    <t>New Customers 
ABA</t>
  </si>
  <si>
    <t>Cold Calls</t>
  </si>
  <si>
    <t>Visits</t>
  </si>
  <si>
    <t>Quotes</t>
  </si>
  <si>
    <t>MISSING TO TARGET</t>
  </si>
  <si>
    <t>Pending FCP Offers</t>
  </si>
  <si>
    <t>Date Devis</t>
  </si>
  <si>
    <t>Devis N°</t>
  </si>
  <si>
    <t>D Montant € HT</t>
  </si>
  <si>
    <t>O.I GSE (SAP)</t>
  </si>
  <si>
    <t>GSE/Tools</t>
  </si>
  <si>
    <t>Hydro France - 441</t>
  </si>
  <si>
    <t>INTERAPPRO - 393</t>
  </si>
  <si>
    <t>Hydro France - 1 668</t>
  </si>
  <si>
    <t>Hydro France - 318</t>
  </si>
  <si>
    <t>Hydro France - 149 000</t>
  </si>
  <si>
    <t>REEL SAS - 5 995</t>
  </si>
  <si>
    <t>REEL SAS - 2 009</t>
  </si>
  <si>
    <t>ROYAL AIR MAROC - 546</t>
  </si>
  <si>
    <t>ATR - 5 111</t>
  </si>
  <si>
    <t>INTERAPPRO - 57</t>
  </si>
  <si>
    <t>INTERAPPRO - 714</t>
  </si>
  <si>
    <t>INTERAPPRO - 309</t>
  </si>
  <si>
    <t>TCR France - 346</t>
  </si>
  <si>
    <t>Airbus Helicopters - 24 830</t>
  </si>
  <si>
    <t>TUNISAIR TECHNICS - 68 488</t>
  </si>
  <si>
    <t>ROYAL AIR MAROC - 6 952</t>
  </si>
  <si>
    <t>INTERAPPRO - 1 094</t>
  </si>
  <si>
    <t>ROYAL AIR MAROC - 6 117</t>
  </si>
  <si>
    <t>REEL SAS - 298</t>
  </si>
  <si>
    <t xml:space="preserve">Airbus Operations SAS - </t>
  </si>
  <si>
    <t>Egypt Air - 9 120</t>
  </si>
  <si>
    <t>TCR France - 38</t>
  </si>
  <si>
    <t>Air Austral - 642</t>
  </si>
  <si>
    <t>ROYAL AIR MAROC - 1 435</t>
  </si>
  <si>
    <t>TCR France - 33</t>
  </si>
  <si>
    <t>TCR France - 400</t>
  </si>
  <si>
    <t>ATR - 13 897</t>
  </si>
  <si>
    <t>REEL SAS - 1 345</t>
  </si>
  <si>
    <t>TCR France - 241</t>
  </si>
  <si>
    <t>ATR - 886</t>
  </si>
  <si>
    <t>REEL SAS - 2 192</t>
  </si>
  <si>
    <t>Airbus Operations SAS - 13 070</t>
  </si>
  <si>
    <t xml:space="preserve">GOODRICH AEROSPACE EUROPE - </t>
  </si>
  <si>
    <t>South African Airways - 2 309</t>
  </si>
  <si>
    <t>SIRBEM - 84</t>
  </si>
  <si>
    <t xml:space="preserve">Air Caraibes Atlantique - </t>
  </si>
  <si>
    <t>ATR - 13 815</t>
  </si>
  <si>
    <t xml:space="preserve">ATR - </t>
  </si>
  <si>
    <t>ATR - 1 624</t>
  </si>
  <si>
    <t>REEL SAS - 468</t>
  </si>
  <si>
    <t>SIRBEM - 58</t>
  </si>
  <si>
    <t>ATR - 12 512</t>
  </si>
  <si>
    <t>ADF Technologies - Section TN - 403</t>
  </si>
  <si>
    <t>Air Austral - 51 600</t>
  </si>
  <si>
    <t>Safran Landing Systems - 43 810</t>
  </si>
  <si>
    <t>ERAS - 115</t>
  </si>
  <si>
    <t>Ethiopian Airlines S.C. - 2 138</t>
  </si>
  <si>
    <t>Airbus Helicopters - 3 632</t>
  </si>
  <si>
    <t>Airbus Helicopters - 5 292</t>
  </si>
  <si>
    <t>REEL SAS - 1 110</t>
  </si>
  <si>
    <t>TARMAC Aerosave SAS - 6 026</t>
  </si>
  <si>
    <t>Ethiopian Airlines S.C. - 1 120</t>
  </si>
  <si>
    <t>Airbus Helicopters - 1 750</t>
  </si>
  <si>
    <t>REEL SAS - 2 251</t>
  </si>
  <si>
    <t>TARMAC Aerosave SAS - 775</t>
  </si>
  <si>
    <t>Air Caraibes Atlantique - 16 821</t>
  </si>
  <si>
    <t>TARMAC Aerosave SAS - 10 386</t>
  </si>
  <si>
    <t xml:space="preserve">Air France Industries - </t>
  </si>
  <si>
    <t>REEL SAS - 1 451</t>
  </si>
  <si>
    <t>REEL SAS - 1 637</t>
  </si>
  <si>
    <t>HYDRO SYSTEMS France - 4 386</t>
  </si>
  <si>
    <t>Ethiopian Airlines S.C. - 699</t>
  </si>
  <si>
    <t>THALES SIX GTS FRANCE S.S.S. - 1 397</t>
  </si>
  <si>
    <t>Aviapartner Services Lyon - 2 665</t>
  </si>
  <si>
    <t>SIRBEM - 1 280</t>
  </si>
  <si>
    <t xml:space="preserve">Egypt Air - </t>
  </si>
  <si>
    <t xml:space="preserve">South African Airways - </t>
  </si>
  <si>
    <t xml:space="preserve">Safran Landing Systems - </t>
  </si>
  <si>
    <t>Air Tanzania Company Ltd. - 6 715</t>
  </si>
  <si>
    <t>TARMAC Aerosave SAS - 2 006</t>
  </si>
  <si>
    <t>DESHONS HYDRAULIQUE - 28 050</t>
  </si>
  <si>
    <t>Air France Industries - 1 958</t>
  </si>
  <si>
    <t>Egyptair - 97 000</t>
  </si>
  <si>
    <t>HYDRO SYSTEMS France - 60</t>
  </si>
  <si>
    <t>ACTEMIUM - 660</t>
  </si>
  <si>
    <t>Air Mauritius Ltd. - 445</t>
  </si>
  <si>
    <t xml:space="preserve"> - 22 931</t>
  </si>
  <si>
    <t>THALES SIX GTS FRANCE S.S.S. - 99</t>
  </si>
  <si>
    <t xml:space="preserve">HYDRO SYSTEMS France - </t>
  </si>
  <si>
    <t>TARMAC Aerosave SAS - 14 922</t>
  </si>
  <si>
    <t>Ethiopian Airlines S.C. - 600</t>
  </si>
  <si>
    <t>Corsair International - 80 071</t>
  </si>
  <si>
    <t>THALES SIX GTS FRANCE S.S.S. - 1 280</t>
  </si>
  <si>
    <t>Garnet Aviation Systems - 41 356</t>
  </si>
  <si>
    <t>Sabena Technics MIR - 1 725</t>
  </si>
  <si>
    <t>Air France Industries - 9 324</t>
  </si>
  <si>
    <t>Air France Industries - 53 267</t>
  </si>
  <si>
    <t>Air Algerie - 43 238</t>
  </si>
  <si>
    <t>Samsic Assistance - 23 262</t>
  </si>
  <si>
    <t>TARMAC Aerosave SAS - 3 657</t>
  </si>
  <si>
    <t xml:space="preserve">AIRBUS Gron Saint-Nazaire - </t>
  </si>
  <si>
    <t>HYDRO SYSTEMS France - 20 785</t>
  </si>
  <si>
    <t>Kenya Airways - 3 380</t>
  </si>
  <si>
    <t>Egyptair - 394</t>
  </si>
  <si>
    <t>MAZERES AERO - 46 058</t>
  </si>
  <si>
    <t>Aéroport Paris-Vatry - 455</t>
  </si>
  <si>
    <t>TOP 10 INVOICED CUSTOMERS</t>
  </si>
  <si>
    <t>Air Algerie - 6 873</t>
  </si>
  <si>
    <t>Sum of Net value in €</t>
  </si>
  <si>
    <t>Column Labels</t>
  </si>
  <si>
    <t>Row Labels</t>
  </si>
  <si>
    <t>Mrz</t>
  </si>
  <si>
    <t>Apr</t>
  </si>
  <si>
    <t>100048 / REEL SAS</t>
  </si>
  <si>
    <t>100028 / Airbus Operations SAS</t>
  </si>
  <si>
    <t>101022 / TARMAC Aerosave SAS</t>
  </si>
  <si>
    <t>100483 / ROYAL AIR MAROC</t>
  </si>
  <si>
    <t>100403 / Airbus Helicopters</t>
  </si>
  <si>
    <t>101949 / Sabena Technics BOD</t>
  </si>
  <si>
    <t>100021 / Air France Industries</t>
  </si>
  <si>
    <t>100238 / Egyptair</t>
  </si>
  <si>
    <t>100043 / Air Austral</t>
  </si>
  <si>
    <t>107996 / MAZERES AERO</t>
  </si>
  <si>
    <t>weekly</t>
  </si>
  <si>
    <t>ASI</t>
  </si>
  <si>
    <t>ABA</t>
  </si>
  <si>
    <t>Feb</t>
  </si>
  <si>
    <t>Aug</t>
  </si>
  <si>
    <t>Jan</t>
  </si>
  <si>
    <t>Mai</t>
  </si>
  <si>
    <t>Jun</t>
  </si>
  <si>
    <t>Jul</t>
  </si>
  <si>
    <t>Sep</t>
  </si>
  <si>
    <t>Okt</t>
  </si>
  <si>
    <t>Nov</t>
  </si>
  <si>
    <t>Dez</t>
  </si>
  <si>
    <t>O.I GSE</t>
  </si>
  <si>
    <t>O.I. New Customers GSE</t>
  </si>
  <si>
    <t>Planned O.I</t>
  </si>
  <si>
    <t>O.I. Forecast</t>
  </si>
  <si>
    <t>GSE/Tools O.I. Cum</t>
  </si>
  <si>
    <t>O.I. Cum New Cust</t>
  </si>
  <si>
    <t>Plan GSE/Tools O.I</t>
  </si>
  <si>
    <t>Business Area</t>
  </si>
  <si>
    <t>Planning Group Text</t>
  </si>
  <si>
    <t>Value</t>
  </si>
  <si>
    <t>EngSol</t>
  </si>
  <si>
    <t>EH</t>
  </si>
  <si>
    <t>Hardware EngSol</t>
  </si>
  <si>
    <t>GSE</t>
  </si>
  <si>
    <t>EN</t>
  </si>
  <si>
    <t>Engineering EngSol</t>
  </si>
  <si>
    <t>Others</t>
  </si>
  <si>
    <t>GS</t>
  </si>
  <si>
    <t>Axle Jacks Other</t>
  </si>
  <si>
    <t>Service (Repair+Spares)</t>
  </si>
  <si>
    <t>Axle Jacks RT</t>
  </si>
  <si>
    <t>TA</t>
  </si>
  <si>
    <t>COBRA</t>
  </si>
  <si>
    <t>TE (RR-Aftermarket)</t>
  </si>
  <si>
    <t>GSE Others (Büter)</t>
  </si>
  <si>
    <t>TR (RR-Trsp AfterMkt)</t>
  </si>
  <si>
    <t>Newbow Aerospace</t>
  </si>
  <si>
    <t>Tow Bars HG</t>
  </si>
  <si>
    <t>Tripod SET Narrow Bo</t>
  </si>
  <si>
    <t>TOTAL</t>
  </si>
  <si>
    <t>OT</t>
  </si>
  <si>
    <t>SE</t>
  </si>
  <si>
    <t>Repair/Recert/Service</t>
  </si>
  <si>
    <t>Spares</t>
  </si>
  <si>
    <t>Airbus</t>
  </si>
  <si>
    <t>Boeing</t>
  </si>
  <si>
    <t>Tools A - Other</t>
  </si>
  <si>
    <t>TE</t>
  </si>
  <si>
    <t>RR-Aftermarket</t>
  </si>
  <si>
    <t>TR</t>
  </si>
  <si>
    <t>RR-Trsp AfterMkt T1000</t>
  </si>
  <si>
    <t>RR-Trsp AfterMkt XWB</t>
  </si>
  <si>
    <t>Grand Total</t>
  </si>
  <si>
    <t>Planung Thomas Rupp 30/01/2020</t>
  </si>
  <si>
    <t>AIA</t>
  </si>
  <si>
    <t>Service</t>
  </si>
  <si>
    <t>Trading</t>
  </si>
  <si>
    <t>GSE IC</t>
  </si>
  <si>
    <t>Overhead</t>
  </si>
  <si>
    <t>Order Intake</t>
  </si>
  <si>
    <t>New Revenue 2020</t>
  </si>
  <si>
    <t>Backlog 2019</t>
  </si>
  <si>
    <t>Costs</t>
  </si>
  <si>
    <t>Gross Margin</t>
  </si>
  <si>
    <t>Cmde en Cours 2020</t>
  </si>
  <si>
    <t>Devis Service</t>
  </si>
  <si>
    <t>Devis GSE</t>
  </si>
  <si>
    <t>OI Service</t>
  </si>
  <si>
    <t>OI GSE</t>
  </si>
  <si>
    <t>CA Service</t>
  </si>
  <si>
    <t>CA GSE</t>
  </si>
  <si>
    <t>Backlog 2021</t>
  </si>
  <si>
    <t>Margin</t>
  </si>
  <si>
    <t>Sum GSE/Tools Order Intake</t>
  </si>
  <si>
    <t>Monthly Data</t>
  </si>
  <si>
    <t>FCP Revenue</t>
  </si>
  <si>
    <t>Service Revenue</t>
  </si>
  <si>
    <t>Trading Revenue</t>
  </si>
  <si>
    <t>GSE/Tool Revenue for HYKG</t>
  </si>
  <si>
    <t>GSE/Tool Revenue for HYUS $</t>
  </si>
  <si>
    <t>GSE/Tools Revenue Cobra</t>
  </si>
  <si>
    <t>GSE/Tools Commissions Revenue</t>
  </si>
  <si>
    <t>Direct Sales</t>
  </si>
  <si>
    <t>AIA Revenue</t>
  </si>
  <si>
    <t>HYFR Revenue</t>
  </si>
  <si>
    <t>Operational Gross Margin</t>
  </si>
  <si>
    <t>Operational Gross Margin YTD</t>
  </si>
  <si>
    <t>Fixed Costs</t>
  </si>
  <si>
    <t>est. Variable Costs (Travel,..)</t>
  </si>
  <si>
    <t>Costs/Month</t>
  </si>
  <si>
    <t>Costs YTD</t>
  </si>
  <si>
    <t>est. Month EAT</t>
  </si>
  <si>
    <t>Planned Month EAT</t>
  </si>
  <si>
    <t>est. EAT YTD</t>
  </si>
  <si>
    <t>Actual EAT</t>
  </si>
  <si>
    <t>Actual EAT YTD</t>
  </si>
  <si>
    <t>Planned EAT YTD</t>
  </si>
  <si>
    <t>Linear Plan EAT</t>
  </si>
  <si>
    <t>EAT SWING YTD</t>
  </si>
  <si>
    <t>Planned FCP Revenue YTD (2021)</t>
  </si>
  <si>
    <t>Actual FCP Revenue YTD</t>
  </si>
  <si>
    <t>Actual FCP Revenue 2020 YTD</t>
  </si>
  <si>
    <t>Planned Service Revenue YTD (2021) including AIA</t>
  </si>
  <si>
    <t>Actual Service Revenue YTD</t>
  </si>
  <si>
    <t>Actual Service Revenue 2020 YTD</t>
  </si>
  <si>
    <t>Planned Trading Revenue YTD (2021)</t>
  </si>
  <si>
    <t>Actual Trading Revenue YTD</t>
  </si>
  <si>
    <t>Actual Trading Revenue 2020 YTD</t>
  </si>
  <si>
    <t>Planned FCP &amp; Service Revenue YTD (2021)</t>
  </si>
  <si>
    <t>Actual FCP &amp; Service Revenue YTD</t>
  </si>
  <si>
    <t>Actual FCP &amp; Service Revenue 2020 YTD</t>
  </si>
  <si>
    <t>Planned AIA Revenue YTD (2021)</t>
  </si>
  <si>
    <t>Actual AIA Revenue YTD</t>
  </si>
  <si>
    <t>Actual AIA Revenue 2020 YTD</t>
  </si>
  <si>
    <t>Planned GSE/Tools Commissions Revenue YTD (2021)</t>
  </si>
  <si>
    <t>Actual GSE/Tools Commissions Revenue YTD</t>
  </si>
  <si>
    <t>Actual GSE/Tools Commissions Revenue 2020 YTD</t>
  </si>
  <si>
    <t>Planned HYFR Revenue YTD (2021)</t>
  </si>
  <si>
    <t>Actual HYFR Revenue YTD</t>
  </si>
  <si>
    <t>Actual HYFR Revenu 2020 YTD (incl Trading)</t>
  </si>
  <si>
    <t>HYFR OI</t>
  </si>
  <si>
    <t>Planned FCP Order Intake YTD</t>
  </si>
  <si>
    <t>Actual FCP Order Intake YTD</t>
  </si>
  <si>
    <t>Actual FCP Order Intake 2019 YTD</t>
  </si>
  <si>
    <t>Planned Service Order Intake YTD</t>
  </si>
  <si>
    <t>Actual Service Order Intake YTD</t>
  </si>
  <si>
    <t>Actual Service Order Intake 2019 YTD</t>
  </si>
  <si>
    <t>Planned Trading Order Intake YTD</t>
  </si>
  <si>
    <t>Actual Trading Order Intake YTD</t>
  </si>
  <si>
    <t>Actual Trading Order Intake 2019 YTD</t>
  </si>
  <si>
    <t>Planned FCP &amp; Service Order Intake YTD</t>
  </si>
  <si>
    <t>Actual FCP &amp; Service Order Intake YTD</t>
  </si>
  <si>
    <t>Actual FCP &amp; Service Order Intake 2019 YTD</t>
  </si>
  <si>
    <t>Planned GSE/Tools HYKD Order Intake</t>
  </si>
  <si>
    <t>Revised GSE/Tools HYKD Order Intake</t>
  </si>
  <si>
    <t>Actual GSE/Tools HYKG Order Intake</t>
  </si>
  <si>
    <t>Originally Planned GSE/Tools HYKG Order Intake YTD</t>
  </si>
  <si>
    <t>Revised GSE/Tools HYKG Order Intake YTD</t>
  </si>
  <si>
    <t>Revised II GSE/Tools HYKG Order Intake YTD</t>
  </si>
  <si>
    <t>Actual GSE/Tools HYKG Order Intake YTD</t>
  </si>
  <si>
    <t>Actual  GSE/Tools HYKD Order Intake 2019 YTD</t>
  </si>
  <si>
    <t>GSE/Tools HYKG Intercompany Revenue</t>
  </si>
  <si>
    <t>Planned GSE/Tools HYKG Intercompany Revenue</t>
  </si>
  <si>
    <t>Revised GSE/Tools HYKG Intercompany Revenue</t>
  </si>
  <si>
    <t>Actual GSE/Tools HYKG Intercompany Revenue</t>
  </si>
  <si>
    <t>Planned GSE/Tools HYKG Intercompany Revenue YTD</t>
  </si>
  <si>
    <t>Revised GSE/Tools HYKG Intercompany Revenue YTD</t>
  </si>
  <si>
    <t>Revised II GSE/Tools HYKG Intercompany Revenue YTD</t>
  </si>
  <si>
    <t>Actual GSE/Tools HYKG Intercompany Revenue YTD</t>
  </si>
  <si>
    <t>Actual GSE/Tools HYKG Intercopany Revenue 2019 YTD</t>
  </si>
  <si>
    <t>Mar</t>
  </si>
  <si>
    <t>May</t>
  </si>
  <si>
    <t>Oct</t>
  </si>
  <si>
    <t>Dec</t>
  </si>
  <si>
    <t>Devis/Quotes</t>
  </si>
  <si>
    <t>Cmde/O.I</t>
  </si>
  <si>
    <t>CA/Revenue</t>
  </si>
  <si>
    <t>O.I</t>
  </si>
  <si>
    <t>Cum. O.I</t>
  </si>
  <si>
    <t>PLAN</t>
  </si>
  <si>
    <t>Target O.I</t>
  </si>
  <si>
    <t>Cum. Target O.I</t>
  </si>
  <si>
    <t>DEVIATION</t>
  </si>
  <si>
    <t>Cum. Dev. O.I</t>
  </si>
  <si>
    <t>REVENUE</t>
  </si>
  <si>
    <t>Cum. Revenue</t>
  </si>
  <si>
    <t>Target Revenue</t>
  </si>
  <si>
    <t>Cum. Target Revenue</t>
  </si>
  <si>
    <t>Cum. Dev. Revenue</t>
  </si>
  <si>
    <t>Backlog 2020</t>
  </si>
  <si>
    <t>Cmde Distribution</t>
  </si>
  <si>
    <t>CA Distribution</t>
  </si>
  <si>
    <t>Mittigated CA Distribution</t>
  </si>
  <si>
    <t>BU GSE OI</t>
  </si>
  <si>
    <t>BU Tooling OI</t>
  </si>
  <si>
    <t>BU Service OI</t>
  </si>
  <si>
    <t>Intercompany</t>
  </si>
  <si>
    <t>BU GSE OI YTD</t>
  </si>
  <si>
    <t>BU Tooling OI YTD</t>
  </si>
  <si>
    <t>BU Service OI YTD</t>
  </si>
  <si>
    <t>Intercompany OI YTD</t>
  </si>
  <si>
    <t>BU GSE REV.</t>
  </si>
  <si>
    <t>BU Tooling REV.</t>
  </si>
  <si>
    <t>BU Service REV.</t>
  </si>
  <si>
    <t>BU GSE REV. YTD</t>
  </si>
  <si>
    <t>BU Tooling REV. YTD</t>
  </si>
  <si>
    <t>BU Service REV. YTD</t>
  </si>
  <si>
    <t>Intercompany REV. YTD</t>
  </si>
  <si>
    <t>ENGINEERING AIA REVENUE</t>
  </si>
  <si>
    <t>ENGINEERING IC REVENUE</t>
  </si>
  <si>
    <t>FCP AIA REVENUE</t>
  </si>
  <si>
    <t>FCP OTHER AIA REVENUE</t>
  </si>
  <si>
    <t>GSE to AIA REVENUE</t>
  </si>
  <si>
    <t>SERVICE AIA REVENUE</t>
  </si>
  <si>
    <t>SERVICE IC REVENUE</t>
  </si>
  <si>
    <t>SERVICE OTHER AIA REVENUE</t>
  </si>
  <si>
    <t>TRADING OTHER AIA REVENUE</t>
  </si>
  <si>
    <t>TRADING AIA REVENUE</t>
  </si>
  <si>
    <t>ENGINEERING AIA REV.YTD</t>
  </si>
  <si>
    <t>ENGINEERING IC REV.YTD</t>
  </si>
  <si>
    <t>FCP AIA REV.YTD</t>
  </si>
  <si>
    <t>FCP OTHER AIA REV.YTD</t>
  </si>
  <si>
    <t>GSE to AIA REV.YTD</t>
  </si>
  <si>
    <t>SERVICE AIA REV.YTD</t>
  </si>
  <si>
    <t>SERVICE IC REV.YTD</t>
  </si>
  <si>
    <t>SERVICE OTHER AIA REV.YTD</t>
  </si>
  <si>
    <t>TRADING OTHER AIA REV.YTD</t>
  </si>
  <si>
    <t>TRADING AIA REV.YTD</t>
  </si>
  <si>
    <t>ENGINEERING AIA OI</t>
  </si>
  <si>
    <t>ENGINEERING IC OI</t>
  </si>
  <si>
    <t>FCP AIA OI</t>
  </si>
  <si>
    <t>FCP OTHER AIA OI</t>
  </si>
  <si>
    <t>GSE to AIA OI</t>
  </si>
  <si>
    <t>SERVICE AIA OI</t>
  </si>
  <si>
    <t>SERVICE IC OI</t>
  </si>
  <si>
    <t>SERVICE OTHER AIA OI</t>
  </si>
  <si>
    <t>TRADING OTHER AIA OI</t>
  </si>
  <si>
    <t>TRADING AIA OI</t>
  </si>
  <si>
    <t>ENGINEERING AIA OI YTD</t>
  </si>
  <si>
    <t>ENGINEERING IC OI YTD</t>
  </si>
  <si>
    <t>FCP AIA OI YTD</t>
  </si>
  <si>
    <t>FCP OTHER AIA OI YTD</t>
  </si>
  <si>
    <t>GSE to AIA OI YTD</t>
  </si>
  <si>
    <t>SERVICE AIA OI YTD</t>
  </si>
  <si>
    <t>SERVICE IC OI YTD</t>
  </si>
  <si>
    <t>SERVICE OTHER AIA OI YTD</t>
  </si>
  <si>
    <t>TRADING OTHER AIA OI YTD</t>
  </si>
  <si>
    <t>TRADING AIA OI YTD</t>
  </si>
  <si>
    <t>Year</t>
  </si>
  <si>
    <t>Month</t>
  </si>
  <si>
    <t>ø</t>
  </si>
  <si>
    <t>Ø 2020</t>
  </si>
  <si>
    <t>Ø 2021</t>
  </si>
  <si>
    <t>6 2021</t>
  </si>
  <si>
    <t>7 2021</t>
  </si>
  <si>
    <t>8 2021</t>
  </si>
  <si>
    <t>9 2021</t>
  </si>
  <si>
    <t>10 2021</t>
  </si>
  <si>
    <t>11 2021</t>
  </si>
  <si>
    <t>12 2021</t>
  </si>
  <si>
    <t>05 2021</t>
  </si>
  <si>
    <t>06 2021</t>
  </si>
  <si>
    <t>07 2021</t>
  </si>
  <si>
    <t>08 2021</t>
  </si>
  <si>
    <t>09 2021</t>
  </si>
  <si>
    <t>UNIT</t>
  </si>
  <si>
    <t>FCST</t>
  </si>
  <si>
    <t xml:space="preserve">ACT </t>
  </si>
  <si>
    <t xml:space="preserve">PLAN </t>
  </si>
  <si>
    <t>∆  ACT PLAN</t>
  </si>
  <si>
    <t>ORDER INTAKE</t>
  </si>
  <si>
    <t>TT-CP-00107-20</t>
  </si>
  <si>
    <t>ENGINEERING AIA</t>
  </si>
  <si>
    <t>k €</t>
  </si>
  <si>
    <t>TT-CP-00108-20</t>
  </si>
  <si>
    <t>ENGINEERING IC</t>
  </si>
  <si>
    <t>FCP AIA</t>
  </si>
  <si>
    <t>TT-CP-00103-20</t>
  </si>
  <si>
    <t>FCP OTHER AIA</t>
  </si>
  <si>
    <t>TT-CP-00109-20</t>
  </si>
  <si>
    <t>GSE to AIA</t>
  </si>
  <si>
    <t>TT-CP-00101-20</t>
  </si>
  <si>
    <t>SERVICE AIA</t>
  </si>
  <si>
    <t>TT-CP-00102-20</t>
  </si>
  <si>
    <t>SERVICE IC</t>
  </si>
  <si>
    <t>TT-CP-00100-20</t>
  </si>
  <si>
    <t>SERVICE OTHER AIA</t>
  </si>
  <si>
    <t>TT-CP-00110-20</t>
  </si>
  <si>
    <t>TRADING OTHER AIA</t>
  </si>
  <si>
    <t>TRADING AIA</t>
  </si>
  <si>
    <t>TOTAL HYFR</t>
  </si>
  <si>
    <t>GSE (HYKG)</t>
  </si>
  <si>
    <t>TOTAL HYFR + GSE (HYKG)</t>
  </si>
  <si>
    <t>CURRENT OI CUMULATED</t>
  </si>
  <si>
    <t>BUDGET OI</t>
  </si>
  <si>
    <t>01 2021</t>
  </si>
  <si>
    <t>02 2021</t>
  </si>
  <si>
    <t>03 2021</t>
  </si>
  <si>
    <t>4 2021</t>
  </si>
  <si>
    <t>5 2021</t>
  </si>
  <si>
    <t>CURRENT REVENUE CUMULATED</t>
  </si>
  <si>
    <t>PRIMAY COST / CM2 Serv Station / Revenue Service Station</t>
  </si>
  <si>
    <t>Primary Costs</t>
  </si>
  <si>
    <t>m€</t>
  </si>
  <si>
    <t>Primary Costs Cumulated</t>
  </si>
  <si>
    <t>Primary Costs Budget</t>
  </si>
  <si>
    <t>CM2 Service Station</t>
  </si>
  <si>
    <t>k€</t>
  </si>
  <si>
    <t>CM2 Service Station Cumulated</t>
  </si>
  <si>
    <t>CM2 Service Station Budget</t>
  </si>
  <si>
    <t>Revenue Service Station</t>
  </si>
  <si>
    <t>Revenue Service Current Cumulated</t>
  </si>
  <si>
    <t>Revenue Service Station Budget</t>
  </si>
  <si>
    <t>Ø 2022</t>
  </si>
  <si>
    <t>Order Intake by Business Field</t>
  </si>
  <si>
    <t>BU GSE</t>
  </si>
  <si>
    <t>TOO</t>
  </si>
  <si>
    <t>BU Tooling</t>
  </si>
  <si>
    <t>SER</t>
  </si>
  <si>
    <t>BU Service</t>
  </si>
  <si>
    <t>INT</t>
  </si>
  <si>
    <t>Order Intake by PSP HYFR Group</t>
  </si>
  <si>
    <t>Revenue by Business Field</t>
  </si>
  <si>
    <t>04 2021</t>
  </si>
  <si>
    <t>Expected Target OI</t>
  </si>
  <si>
    <t>Expected Target Revenue</t>
  </si>
  <si>
    <t>Diff O.I</t>
  </si>
  <si>
    <t>Cum. Quotes</t>
  </si>
  <si>
    <t>Target Cmd</t>
  </si>
  <si>
    <t>Target CA</t>
  </si>
  <si>
    <t>3-month mittigation</t>
  </si>
  <si>
    <t>Cmd</t>
  </si>
  <si>
    <t>Backlog excluding AIA</t>
  </si>
  <si>
    <t>Cum.</t>
  </si>
  <si>
    <t>Diff</t>
  </si>
  <si>
    <t>Mittigated Cum.</t>
  </si>
  <si>
    <t xml:space="preserve">MITT. OI CUM </t>
  </si>
  <si>
    <t>MITT. REV CUM</t>
  </si>
  <si>
    <t>LINEAR</t>
  </si>
  <si>
    <t>RfQ</t>
  </si>
  <si>
    <t>D E V I S / Q U O T E S</t>
  </si>
  <si>
    <t>F A C T U R A T I O N / I N V O I C E S</t>
  </si>
  <si>
    <t>Si Rejeté</t>
  </si>
  <si>
    <t xml:space="preserve">Raison pour </t>
  </si>
  <si>
    <t>BU_Key</t>
  </si>
  <si>
    <t>Index</t>
  </si>
  <si>
    <t>End Client</t>
  </si>
  <si>
    <t>ASM</t>
  </si>
  <si>
    <t>Categorie</t>
  </si>
  <si>
    <t>Spalte2</t>
  </si>
  <si>
    <t>CW ORDER</t>
  </si>
  <si>
    <t>OI_Year</t>
  </si>
  <si>
    <t>OI_Month</t>
  </si>
  <si>
    <t>Montant Restant €</t>
  </si>
  <si>
    <t>Délai (semaine)</t>
  </si>
  <si>
    <t>Spalte4</t>
  </si>
  <si>
    <t>Date réelle réception matériel</t>
  </si>
  <si>
    <t>CW REV</t>
  </si>
  <si>
    <t>Revenue_Year</t>
  </si>
  <si>
    <t>Revenue_Month</t>
  </si>
  <si>
    <t>Facture N°</t>
  </si>
  <si>
    <t>Date Facture</t>
  </si>
  <si>
    <t>F Montant HT</t>
  </si>
  <si>
    <t>In-house/
On-site</t>
  </si>
  <si>
    <t>Raison</t>
  </si>
  <si>
    <t>Spalte7</t>
  </si>
  <si>
    <t>Spalte8</t>
  </si>
  <si>
    <t>Commentaire</t>
  </si>
  <si>
    <t>Spalte9</t>
  </si>
  <si>
    <t>l'externalisation</t>
  </si>
  <si>
    <t>Spalte10</t>
  </si>
  <si>
    <t>Lien dossier</t>
  </si>
  <si>
    <t>Spalte11</t>
  </si>
  <si>
    <t>Contact Person</t>
  </si>
  <si>
    <t>Spalte12</t>
  </si>
  <si>
    <t>Coûts achats</t>
  </si>
  <si>
    <t>Coûts main d'œuvre</t>
  </si>
  <si>
    <t>Marge</t>
  </si>
  <si>
    <t>Marge %</t>
  </si>
  <si>
    <t>A</t>
  </si>
  <si>
    <t>En Attente</t>
  </si>
  <si>
    <t>Roulettes</t>
  </si>
  <si>
    <t>L:\KL_CO\110_HYFR\AFFAIRES 2021\AIA\Devis n°4524-Renseignement roulettes</t>
  </si>
  <si>
    <t>HYDRO SYSTEMS KG</t>
  </si>
  <si>
    <t>Accepté</t>
  </si>
  <si>
    <t>2021-016</t>
  </si>
  <si>
    <t>Modification de 4 Cobra</t>
  </si>
  <si>
    <t>SABENA</t>
  </si>
  <si>
    <t>Annulé</t>
  </si>
  <si>
    <t>Essais en charge liste de crics et vérins sur site Dinard</t>
  </si>
  <si>
    <t>Négo contrat cadre en cours-Décalé plus Q3 2021</t>
  </si>
  <si>
    <t>L:\KL_CO\110_HYFR\AFFAIRES 2021\SABENA DNR\Devis n°4537A_Essais en charge liste vérins+crics</t>
  </si>
  <si>
    <t>KAWNEER</t>
  </si>
  <si>
    <t>Réparation sur outil n°107</t>
  </si>
  <si>
    <t>Ne fait plus partie de notre gamme de produits</t>
  </si>
  <si>
    <t>Rejeté</t>
  </si>
  <si>
    <t>Conception et fabrication plateformes NH90 Caïman</t>
  </si>
  <si>
    <t>Offre irrégulière car 100% du 1er poste doit être fait par Hydro</t>
  </si>
  <si>
    <t>L:\KL_CO\110_HYFR\AFFAIRES 2021\AIA\Devis n° 4555A - réf. 21047_Plateformes mobiles pour NH90_Caïman</t>
  </si>
  <si>
    <t>Entretien préventif et curatif des moyens de levage - Candidature</t>
  </si>
  <si>
    <t>Phase candidature déposée le 03/05 - Pour étude faisabilité uniquement</t>
  </si>
  <si>
    <t>L:\KL_CO\110_HYFR\AFFAIRES 2021\AIA\Devis n° 4561A - 21005 - Entretien préventif et curatif des moyens de levage</t>
  </si>
  <si>
    <t>BASE AERIENNE ROMORANTIN</t>
  </si>
  <si>
    <t>2021-080</t>
  </si>
  <si>
    <t>Devis lot spares</t>
  </si>
  <si>
    <t>L:\KL_CO\110_HYFR\AFFAIRES 2021\BASE AERIENNE ROMORANTIN\Devis n° 4569A - Devis Hengstler</t>
  </si>
  <si>
    <t>2021-030</t>
  </si>
  <si>
    <t>Modification Safety kit</t>
  </si>
  <si>
    <t>L:\KL_CO\110_HYFR\AFFAIRES 2021\HYDRO KG\Devis n° 4571A - modification Safety Kit</t>
  </si>
  <si>
    <t>ROLLS ROYCE</t>
  </si>
  <si>
    <t>2021-051</t>
  </si>
  <si>
    <t>Réparation RRT068182</t>
  </si>
  <si>
    <t>L:\KL_CO\110_HYFR\AFFAIRES 2021\ROLLS ROYCE\Devis n° 4604A - Réparation Draining Tool</t>
  </si>
  <si>
    <t>Crics C130 - RC3515B5A0A03</t>
  </si>
  <si>
    <t>L:\KL_CO\110_HYFR\AFFAIRES 2021\AIA\Devis n°4605A - DCE-REC8 LOT 1 - crics RC3515B5A0A03</t>
  </si>
  <si>
    <t>Réparation sur outil n°106</t>
  </si>
  <si>
    <t>Réparation sur outil n°125</t>
  </si>
  <si>
    <t>B</t>
  </si>
  <si>
    <t>BASE AERIENNE ISTRES</t>
  </si>
  <si>
    <t>Inspection outillages LANGA (A330-92010-0001)</t>
  </si>
  <si>
    <t>Devis transféré à la DMAé, en attente de retour (relancé sem47)</t>
  </si>
  <si>
    <t>L:\KL_CO\110_HYFR\AFFAIRES 2021\BASE AERIENNE ISTRES\Devis n°4626A - Inspection outillage LANGA</t>
  </si>
  <si>
    <t>Maintenance annuelle palan AGSE</t>
  </si>
  <si>
    <t>L:\KL_CO\110_HYFR\AFFAIRES 2021\BASE AERIENNE ISTRES\Devis n°4627A - Maintenance annuelle AGSE-Y002-G01</t>
  </si>
  <si>
    <t>VALLAIR</t>
  </si>
  <si>
    <t>Calibration palans et cric</t>
  </si>
  <si>
    <t>Besoin plus d'actualité</t>
  </si>
  <si>
    <t>L:\KL_CO\110_HYFR\AFFAIRES 2021\VALLAIR\Devis n°4630 - Calibration palans et cric TMH</t>
  </si>
  <si>
    <t>Remplacement pièces MLGTMULTI-1-AA + VGP</t>
  </si>
  <si>
    <t>Relancé semaine 44</t>
  </si>
  <si>
    <t>L:\KL_CO\110_HYFR\AFFAIRES 2021\VALLAIR\Devis N°4631 - Réparation et Recertification MLGTMULTI</t>
  </si>
  <si>
    <t>C</t>
  </si>
  <si>
    <t>LATECOERE</t>
  </si>
  <si>
    <t>Réparation chariots</t>
  </si>
  <si>
    <t>Plus besoin</t>
  </si>
  <si>
    <t>L:\KL_CO\110_HYFR\AFFAIRES 2021\LATECOERE\Devis n°4633A - Réparation chariots (Qty 13)</t>
  </si>
  <si>
    <t>BASE DE DEFENSE DE TOULON</t>
  </si>
  <si>
    <t>Vérification et maintenance d'appareils de levage</t>
  </si>
  <si>
    <t>Phase de candidature remise</t>
  </si>
  <si>
    <t>L:\KL_CO\110_HYFR\AFFAIRES 2021\BASE DE DEFENSE DE TOULON\Devis n°4634 - Vérification et maintenance des appareils de levage Toulon</t>
  </si>
  <si>
    <t>2022-033</t>
  </si>
  <si>
    <t>Recertification MLGTMULTI</t>
  </si>
  <si>
    <t>Attente réception moyen + moyen de test HYKG</t>
  </si>
  <si>
    <t>L:\KL_CO\110_HYFR\AFFAIRES 2021\VALLAIR\Devis n°4641 - Essais en charge MLGTMULTI HYFR</t>
  </si>
  <si>
    <t>ELECTROIMPACT</t>
  </si>
  <si>
    <t>Fab chariot acier et bâti alu</t>
  </si>
  <si>
    <t>150 € remise si livraison groupée</t>
  </si>
  <si>
    <t>L:\KL_CO\110_HYFR\AFFAIRES 2021\ELECTROIMPACT\Devis n° 4656 - Fourniture de châssis suivant plans</t>
  </si>
  <si>
    <t>AIA BORDEAUX</t>
  </si>
  <si>
    <t>fournisseurs externes contactés (Blix)</t>
  </si>
  <si>
    <t>L:\KL_CO\110_HYFR\AFFAIRES 2021\AIA BORDEAUX\Devis n°4663A - Fabrication caisses plastique</t>
  </si>
  <si>
    <t>IGO</t>
  </si>
  <si>
    <t>Recertification FEN122A21</t>
  </si>
  <si>
    <t>Attente réception moyen</t>
  </si>
  <si>
    <t>L:\KL_CO\110_HYFR\AFFAIRES 2021\IGO\Devis n°4666 - Recertification FEN122A21</t>
  </si>
  <si>
    <t>2021-098</t>
  </si>
  <si>
    <t>Vérification crics et vérins</t>
  </si>
  <si>
    <t>Noria n°5 remise en service</t>
  </si>
  <si>
    <t>L:\KL_CO\110_HYFR\AFFAIRES 2021\AIA CF\Devis n°4668 - Maintenance Noria n°5</t>
  </si>
  <si>
    <t>ABA+ASI</t>
  </si>
  <si>
    <t>Stockage container MERO</t>
  </si>
  <si>
    <t>Fourniture d'outillages et de moyens d'accès pour C130</t>
  </si>
  <si>
    <t>Attente retour fournisseurs - Remise de l'offre 15/11 - Déclaré sans suite le 18/02/2022</t>
  </si>
  <si>
    <t>L:\KL_CO\110_HYFR\AFFAIRES 2021\AIA CF\Devis n°4671A - DCE_Rec9_lot 1 - Fourniture d'outillages pour C130</t>
  </si>
  <si>
    <t>2022-023</t>
  </si>
  <si>
    <t>Conception d'un chariot ATL2</t>
  </si>
  <si>
    <t>L:\KL_CO\110_HYFR\AFFAIRES 2021\AIA CF\Devis n°4673 -  réf. 4172117 - Conception et réalisation chariots ATL2</t>
  </si>
  <si>
    <t>Réalisation d'un chariot ATL2</t>
  </si>
  <si>
    <t>Confection caissons</t>
  </si>
  <si>
    <t>Remise de l'offre 16/11</t>
  </si>
  <si>
    <t>L:\KL_CO\110_HYFR\AFFAIRES 2021\AIA CF\Devis n°4674 - réf. 417216 - Confection de caissons</t>
  </si>
  <si>
    <t>AIRBUS OPERATIONS</t>
  </si>
  <si>
    <t>2021-101</t>
  </si>
  <si>
    <t>Intervention sur TTR correction hauteur enrouleurs</t>
  </si>
  <si>
    <t>L:\KL_CO\110_HYFR\AFFAIRES 2021\AIRBUS OPERATIONS SAS\Devis n°4677A - Guide Câble TTRs M67</t>
  </si>
  <si>
    <t>2021-104</t>
  </si>
  <si>
    <t>L:\KL_CO\110_HYFR\AFFAIRES 2021\HYDRO KG\Devis n°4678A - Fourniture oil reservoir</t>
  </si>
  <si>
    <t>L:\KL_CO\110_HYFR\AFFAIRES 2021\HYDRO KG\Devis n°4679A - manille lyre</t>
  </si>
  <si>
    <t>COLLINS AEROSPACE</t>
  </si>
  <si>
    <t xml:space="preserve">Lot de Balls Transfer </t>
  </si>
  <si>
    <t>Attente chiffrage HYKG</t>
  </si>
  <si>
    <t>L:\KL_CO\110_HYFR\AFFAIRES 2021\COLLINS\Devis n°4681 - Marquage au sol pedestal A350</t>
  </si>
  <si>
    <t>2021-106</t>
  </si>
  <si>
    <t>Remise en service crics et vérins</t>
  </si>
  <si>
    <t>Noria n°6 remise en service</t>
  </si>
  <si>
    <t>\\HY07\Public\KL_CO\110_HYFR\AFFAIRES 2021\AIA CF\Devis n°4683 - Maintenance Noria n°6</t>
  </si>
  <si>
    <t>2022-003</t>
  </si>
  <si>
    <t>29/02</t>
  </si>
  <si>
    <t>Maintenance curative crics et vérins</t>
  </si>
  <si>
    <t>Noria n°6 maintenance curative devis à remettre le 21/12</t>
  </si>
  <si>
    <t>\\HY07\Public\KL_CO\110_HYFR\AFFAIRES 2021\AIA CF\Devis n°4684 - Curatif Noria n°6</t>
  </si>
  <si>
    <t>2022-006</t>
  </si>
  <si>
    <t>Noria n°6 (anciennement n°7) remise en service - 2ème partie</t>
  </si>
  <si>
    <t>\\HY07\Public\KL_CO\110_HYFR\AFFAIRES 2021\AIA CF\Devis n°4685 - Maintenance Noria n°6</t>
  </si>
  <si>
    <t>Noria n°6 (anciennement n°7) remise en service - 1ère partie</t>
  </si>
  <si>
    <t>2022-015</t>
  </si>
  <si>
    <t>Noria n°6 (anciennement n°7) maintenance curative - 2 moyens non réparables</t>
  </si>
  <si>
    <t>\\HY07\Public\KL_CO\110_HYFR\AFFAIRES 2021\AIA CF\Devis n°4686 - Curatif Noria n°6</t>
  </si>
  <si>
    <t>HOP</t>
  </si>
  <si>
    <t>2021-099</t>
  </si>
  <si>
    <t>Réparation cric RT4550-001</t>
  </si>
  <si>
    <t>Attente chiffrage pour mise à jour PO</t>
  </si>
  <si>
    <t>L:\KL_CO\110_HYFR\AFFAIRES 2021\HOP\Devis n°4687A - Réparation RT4550-001</t>
  </si>
  <si>
    <t>ADF</t>
  </si>
  <si>
    <t>Changement joints pompes + VGP sur site client</t>
  </si>
  <si>
    <t>Retard de paiement à régler</t>
  </si>
  <si>
    <t>L:\KL_CO\110_HYFR\AFFAIRES 2021\ADF\Devis n°4690A - Changement kit de joints pompe</t>
  </si>
  <si>
    <t>Pré-paiement</t>
  </si>
  <si>
    <t>2022-046</t>
  </si>
  <si>
    <t>Attention Pré-paiement - pas d'appro sans réception du paiement client</t>
  </si>
  <si>
    <t>Changement joints pompes + VGP in-house</t>
  </si>
  <si>
    <t>L:\KL_CO\110_HYFR\AFFAIRES 2021\ADF\Devis n°4691A  - Changement kit de joints pompe in-house</t>
  </si>
  <si>
    <t>Opportunité</t>
  </si>
  <si>
    <t>Conception et facbrication chariot roues C130</t>
  </si>
  <si>
    <t>Date et heure limite de remise des plis : 13/01/2022 17:30</t>
  </si>
  <si>
    <t>L:\KL_CO\110_HYFR\AFFAIRES 2021\AIA CF\Devis N°4692 - Conception et fabrication chariots de stockage roues C130</t>
  </si>
  <si>
    <t>DALE</t>
  </si>
  <si>
    <t>2021-102</t>
  </si>
  <si>
    <t>Recertification et entretien hoist</t>
  </si>
  <si>
    <t>Validé par le client, en attente de réception PO - Nouveau devis repair : attente mise à jour PO</t>
  </si>
  <si>
    <t>L:\KL_CO\110_HYFR\AFFAIRES 2021\DALE\Devis n°4693A - Calibration hoist</t>
  </si>
  <si>
    <t>Recertification A400M tripod set</t>
  </si>
  <si>
    <t>L:\KL_CO\110_HYFR\AFFAIRES 2021\AIRBUS DEFENCE AND SPACE\Devis n°4694 - Recertification vérins A400M</t>
  </si>
  <si>
    <t>2021-109</t>
  </si>
  <si>
    <t>Fabrication flans en contreplaqué</t>
  </si>
  <si>
    <t>Délai 5 semaines sous réserve disponibilité panneaux</t>
  </si>
  <si>
    <t>L:\KL_CO\110_HYFR\AFFAIRES 2021\AIA BORDEAUX\Devis n°4695A - Fabrication flans en contreplaqué</t>
  </si>
  <si>
    <t>INEO ENGIE</t>
  </si>
  <si>
    <t>Recertification crics</t>
  </si>
  <si>
    <t>Liste des moyens demandés avec S/N</t>
  </si>
  <si>
    <t>L:\KL_CO\110_HYFR\AFFAIRES 2021\ENGIE SOLUTIONS\Devis n°4697A - Calibration crics RS0609A1A1A01</t>
  </si>
  <si>
    <t>Recertification cric RT4550-001</t>
  </si>
  <si>
    <t>Moyen non conforme</t>
  </si>
  <si>
    <t>L:\KL_CO\110_HYFR\AFFAIRES 2021\HOP\Devis n°4698A - Recertification RT4550-001</t>
  </si>
  <si>
    <t>2021-107</t>
  </si>
  <si>
    <t>Recertification cric RT4550-001 non conforme</t>
  </si>
  <si>
    <t>Devis neuf envoyé : le client a choisi la réparation</t>
  </si>
  <si>
    <t>DASSAULT</t>
  </si>
  <si>
    <t>Prix</t>
  </si>
  <si>
    <t>Test statique sur site client rome</t>
  </si>
  <si>
    <t>L:\KL_CO\110_HYFR\AFFAIRES 2021\DASSAULT\Devis n° 4699A - Recertification vérins Nice et Rome</t>
  </si>
  <si>
    <t>AIRBUS DEFENSE &amp; SPACE</t>
  </si>
  <si>
    <t>2022-018</t>
  </si>
  <si>
    <t>Repair + Test statique sur site client orleans</t>
  </si>
  <si>
    <t>L:\KL_CO\110_HYFR\AFFAIRES 2021\AIRBUS DEFENCE AND SPACE\Devis n°4700 - Recertification vérins A400M_2ème partie</t>
  </si>
  <si>
    <t>AIR ARABIA MAROC</t>
  </si>
  <si>
    <t>Réparation RT6050</t>
  </si>
  <si>
    <t>L:\KL_CO\110_HYFR\AFFAIRES 2021\AIR ARABIA MAROC\Devis n° 4701 - Réparation RT6050</t>
  </si>
  <si>
    <t>VGP cric F7XC203259602</t>
  </si>
  <si>
    <t>Fait par HYKG car pas possible de créer fournisseur HYFR</t>
  </si>
  <si>
    <t>L:\KL_CO\110_HYFR\AFFAIRES 2021\DASSAULT\Devis n°4702A - Cric F7XC203259602</t>
  </si>
  <si>
    <t>2022-004</t>
  </si>
  <si>
    <t>Réparation RRT095945</t>
  </si>
  <si>
    <t>L:\KL_CO\110_HYFR\AFFAIRES 2022\ROLLS ROYCE\Devis n° 4704 - Réparation RRT095945</t>
  </si>
  <si>
    <t>ACTEMIUM</t>
  </si>
  <si>
    <t>2022-007</t>
  </si>
  <si>
    <t>Calibraion PVTP91</t>
  </si>
  <si>
    <t>L:\KL_CO\110_HYFR\AFFAIRES 2022\ACTEMIUM\Devis n°4705_Calibration PVTP91-100</t>
  </si>
  <si>
    <t>2022-005</t>
  </si>
  <si>
    <t>Travaux peinture outillage chez Air France</t>
  </si>
  <si>
    <t>L:\KL_CO\110_HYFR\AFFAIRES 2022\HYDRO SYSTEMS KG\Devis n°4706_Intervention Air France</t>
  </si>
  <si>
    <t>AIR France</t>
  </si>
  <si>
    <t>Retrofit RRT111117-1</t>
  </si>
  <si>
    <t>Fait par HYKG</t>
  </si>
  <si>
    <t>L:\KL_CO\110_HYFR\AFFAIRES 2022\AIR FRANCE\Devis n°4707_Retrofit RRT111117-1</t>
  </si>
  <si>
    <t>AIRBUS</t>
  </si>
  <si>
    <t>2022-010</t>
  </si>
  <si>
    <t>Modification cric SG278-001</t>
  </si>
  <si>
    <t>L:\KL_CO\110_HYFR\AFFAIRES 2022\AIRBUS\Devis n°4708 - Modification SG278-001</t>
  </si>
  <si>
    <t>2022-016</t>
  </si>
  <si>
    <t>Noria n°7 - Remise en service 3ème partie</t>
  </si>
  <si>
    <t>L:\KL_CO\110_HYFR\AFFAIRES 2022\AIA\Devis n°4709 - Maintenance Noria n°7</t>
  </si>
  <si>
    <t>Noria n°7 - Remise en service 1ère partie (moyen non réparable)</t>
  </si>
  <si>
    <t>Noria n°7 - Remise en service 2ème partie (moyen non réparable)</t>
  </si>
  <si>
    <t>2022-027</t>
  </si>
  <si>
    <t>Noria n°7 - devis maintenance curative à remettre le 02/03/2022 - Envoyé le 23/02/2022</t>
  </si>
  <si>
    <t>L:\KL_CO\110_HYFR\AFFAIRES 2022\AIA\Devis n°4710 - Curatif Noria n°7</t>
  </si>
  <si>
    <t>Noria n° 7 - devis maintenance curative à remettre le 02/03/2022 - Envoyé le 23/02/2022</t>
  </si>
  <si>
    <t>SABENA NIMES</t>
  </si>
  <si>
    <t>2022-013</t>
  </si>
  <si>
    <t>Réparation RT6050-001</t>
  </si>
  <si>
    <t>Attente mise à jour PO client</t>
  </si>
  <si>
    <t>L:\KL_CO\110_HYFR\AFFAIRES 2022\SABENA NIMES\Devis n° 4711 - Réparation RT6050-001</t>
  </si>
  <si>
    <t>2022-008</t>
  </si>
  <si>
    <t>Réparation RRT050571-3 S/N 10</t>
  </si>
  <si>
    <t>L:\KL_CO\110_HYFR\AFFAIRES 2022\ROLLS ROYCE\Devis n° 4712 - Réparation RRT050571-3</t>
  </si>
  <si>
    <t>2022-009</t>
  </si>
  <si>
    <t>L:\KL_CO\110_HYFR\AFFAIRES 2022\HOP\Devis n°4713 - Recertification RT4550</t>
  </si>
  <si>
    <t>Recertification vérins A400M Clermont-Ferrand</t>
  </si>
  <si>
    <t>Commande ADS reçue à HYKG</t>
  </si>
  <si>
    <t>L:\KL_CO\110_HYFR\AFFAIRES 2022\HYDRO SYSTEMS KG\Devis n°4714 - Maintenance pour ADS vérins A400M CF</t>
  </si>
  <si>
    <t>2022-024</t>
  </si>
  <si>
    <t>Intervention semaine 10</t>
  </si>
  <si>
    <t>D</t>
  </si>
  <si>
    <t>2022-025</t>
  </si>
  <si>
    <t>Recertificatino vérins A400M Clermont-Ferrand</t>
  </si>
  <si>
    <t>Date intervention à confirmer</t>
  </si>
  <si>
    <t>DMAé</t>
  </si>
  <si>
    <t>Docks de nez AWACS</t>
  </si>
  <si>
    <t>L:\KL_CO\110_HYFR\AFFAIRES 2022\DMAé\Devis n° 4715 - Acquisition d'un dock de nez AWACS</t>
  </si>
  <si>
    <t>ROYAL AIR MAROC</t>
  </si>
  <si>
    <t>Recertification outillages</t>
  </si>
  <si>
    <t>L:\KL_CO\110_HYFR\AFFAIRES 2022\ROYAL AIR MAROC\Devis n°4716 - Calibration outillages</t>
  </si>
  <si>
    <t>Réparation vérins</t>
  </si>
  <si>
    <t>L:\KL_CO\110_HYFR\AFFAIRES 2022\ROYAL AIR MAROC\Devis n°4717 - Réparation vérins</t>
  </si>
  <si>
    <t>2022-040</t>
  </si>
  <si>
    <t>Recertification bootstrap</t>
  </si>
  <si>
    <t>L:\KL_CO\110_HYFR\AFFAIRES 2022\ROYAL AIR MAROC\Devis n°4718 - Calibration outillages Boeing</t>
  </si>
  <si>
    <t>Calibration outillages</t>
  </si>
  <si>
    <t>P/N non identifié, manuel demandé au client</t>
  </si>
  <si>
    <t>L:\KL_CO\110_HYFR\AFFAIRES 2022\ROYAL AIR MAROC\Devis n°4719 - Calibration outillages</t>
  </si>
  <si>
    <t>2AS</t>
  </si>
  <si>
    <t>in-house. Client a demandé chiffrage sur site, mais trop cher</t>
  </si>
  <si>
    <t>L:\KL_CO\110_HYFR\AFFAIRES 2022\2AS\Devis n°4720 - Recertification crics</t>
  </si>
  <si>
    <t>TARMAC</t>
  </si>
  <si>
    <t>2022-017</t>
  </si>
  <si>
    <t>Recertification cric et vérin</t>
  </si>
  <si>
    <t>Réception moyen prévue semaine 7</t>
  </si>
  <si>
    <t>L:\KL_CO\110_HYFR\AFFAIRES 2022\TARMAC\Devis n°4721 - Recertifiation cric et vérin</t>
  </si>
  <si>
    <t>Réception moyen prévue semaine 8-9</t>
  </si>
  <si>
    <t>Calibration hoist K20008-55</t>
  </si>
  <si>
    <t>L:\KL_CO\110_HYFR\AFFAIRES 2022\ROYAL AIR MAROC\Devis n°4722 - Calibration hoist</t>
  </si>
  <si>
    <t>Calibration manomètre</t>
  </si>
  <si>
    <t>Offre envoyée en précisant hors transport, hors frais de douanes</t>
  </si>
  <si>
    <t>L:\KL_CO\110_HYFR\AFFAIRES 2022\ROYAL AIR MAROC\Devis n°4723 - Calibration mano</t>
  </si>
  <si>
    <t>Calibration sling equipment</t>
  </si>
  <si>
    <t>L:\KL_CO\110_HYFR\AFFAIRES 2022\ROYAL AIR MAROC\Devis n°4724 - Calibration Sling</t>
  </si>
  <si>
    <t>DGA</t>
  </si>
  <si>
    <t>DT0623K1D1B01A0 en remplacement D01258</t>
  </si>
  <si>
    <t>L:\KL_CO\110_HYFR\AFFAIRES 2022\DGA\Devis n°4725 -  DT0623K1D1B01A0 en remplacement du D01258</t>
  </si>
  <si>
    <t>Commissioning SG248</t>
  </si>
  <si>
    <t>L:\KL_CO\110_HYFR\AFFAIRES 2022\HYDRO SYSTEMS KG\Devis n°4726 - Commissioning pour ADS kits SG248</t>
  </si>
  <si>
    <t>Formation COBRA</t>
  </si>
  <si>
    <t>L:\KL_CO\110_HYFR\AFFAIRES 2022\AIRBUS\Devis n°4727 - Formation COBRA</t>
  </si>
  <si>
    <t>2022-020</t>
  </si>
  <si>
    <t>Recertifications moyens on-site Azereix</t>
  </si>
  <si>
    <t>Intervention demandée courant avril</t>
  </si>
  <si>
    <t>L:\KL_CO\110_HYFR\AFFAIRES 2022\TARMAC\Devis n°4728 - Recertification on-site</t>
  </si>
  <si>
    <t>2022-031</t>
  </si>
  <si>
    <t>Noria n°8 - Remise en service - PO à confirmer, en attente modification AIA</t>
  </si>
  <si>
    <t>L:\KL_CO\110_HYFR\AFFAIRES 2022\AIA\Devis n°4729 - Maintenance Noria n°8</t>
  </si>
  <si>
    <t>Noria n°8 - Remise en service - Moyens non réparables</t>
  </si>
  <si>
    <t>2022-039</t>
  </si>
  <si>
    <t>Noria n°8 - Maintenance curative</t>
  </si>
  <si>
    <t>L:\KL_CO\110_HYFR\AFFAIRES 2022\AIA\Devis n°4730 - Curatif Noria n°8</t>
  </si>
  <si>
    <t>SPIE</t>
  </si>
  <si>
    <t>Maintenance moyens Hydro sur Airbus SNZ</t>
  </si>
  <si>
    <t>L:\KL_CO\110_HYFR\AFFAIRES 2022\SPIE\Devis n°4731 - Maintenance moyens HYDRO</t>
  </si>
  <si>
    <t>Manuels non fournis par le client qui a envoyé l'outillage chez un autre fournisseur</t>
  </si>
  <si>
    <t>L:\KL_CO\110_HYFR\AFFAIRES 2022\ROYAL AIR MAROC\Devis n°4732 - Calibration Sling</t>
  </si>
  <si>
    <t>2022-021</t>
  </si>
  <si>
    <t>Recertification cric</t>
  </si>
  <si>
    <t>Réception prévue semaine 8</t>
  </si>
  <si>
    <t>L:\KL_CO\110_HYFR\AFFAIRES 2022\TARMAC\Devis n°4733 - Réparation et recertification</t>
  </si>
  <si>
    <t>Réparation palan</t>
  </si>
  <si>
    <t>2022-022</t>
  </si>
  <si>
    <t xml:space="preserve">Réparation et recertification crics in-house </t>
  </si>
  <si>
    <t>L:\KL_CO\110_HYFR\AFFAIRES 2022\IGO\Devis n°4734 - Réparation crics et palans</t>
  </si>
  <si>
    <t xml:space="preserve">Réparation palans in-house </t>
  </si>
  <si>
    <t xml:space="preserve">Recertification palans in-house </t>
  </si>
  <si>
    <t>SABENA PERPIGNAN</t>
  </si>
  <si>
    <t>2022-026</t>
  </si>
  <si>
    <t xml:space="preserve">Réparation cric RH1029A1A0A01 in-house </t>
  </si>
  <si>
    <t>L:\KL_CO\110_HYFR\AFFAIRES 2022\SABENA PERPIGNAN\Devis n° 4738 - Réparation cric RH1029A1A0A01</t>
  </si>
  <si>
    <t>AIR CORSICA</t>
  </si>
  <si>
    <t>Calibration in-house crics</t>
  </si>
  <si>
    <t>Offre budgétaire : le client utilisera ces tarifs tout au long de l'année</t>
  </si>
  <si>
    <t>L:\KL_CO\110_HYFR\AFFAIRES 2022\AIR CORSICA\Devis n°4739 - Calibration in-house crics</t>
  </si>
  <si>
    <t>Calibration on-site vérins</t>
  </si>
  <si>
    <t>L:\KL_CO\110_HYFR\AFFAIRES 2022\AIR CORSICA\Devis n°4740 - Calibration on-site vérins</t>
  </si>
  <si>
    <t>TOOLING AIA</t>
  </si>
  <si>
    <t>2022-041</t>
  </si>
  <si>
    <t>Fourniture shearpins</t>
  </si>
  <si>
    <t>Réponse envoyée le 08/03/22</t>
  </si>
  <si>
    <t>L:\KL_CO\110_HYFR\AFFAIRES 2022\AIA\Devis n°4741 - Fourniture spare</t>
  </si>
  <si>
    <t>2022-029</t>
  </si>
  <si>
    <t>Calibration cric RA4510K2A0A10</t>
  </si>
  <si>
    <t>L:\KL_CO\110_HYFR\AFFAIRES 2022\AIR CORSICA\Devis n°4742 - Calibration in-house cric</t>
  </si>
  <si>
    <t>Réparation cric RA4510K2A0A10</t>
  </si>
  <si>
    <t>2022-028</t>
  </si>
  <si>
    <t xml:space="preserve">Calibration cric RT4550-001 in-house </t>
  </si>
  <si>
    <t>L:\KL_CO\110_HYFR\AFFAIRES 2022\HOP\Devis n°4743 - Calibration RT4550</t>
  </si>
  <si>
    <t>Changement flexibles et vidange suite calibration RT4550-001</t>
  </si>
  <si>
    <t>ASL AIRLINES</t>
  </si>
  <si>
    <t>2022-030</t>
  </si>
  <si>
    <t xml:space="preserve">Réparation et calibration circs in-house </t>
  </si>
  <si>
    <t>L:\KL_CO\110_HYFR\AFFAIRES 2022\ASL AIRLINES\Devis n°4744 - Recertification et réparation crics</t>
  </si>
  <si>
    <t xml:space="preserve">Réparation et calibration circ in-house </t>
  </si>
  <si>
    <t xml:space="preserve">Calibration outillages in-house </t>
  </si>
  <si>
    <t>L:\KL_CO\110_HYFR\AFFAIRES 2022\ROYAL AIR MAROC\Devis n°4747 - Calibration outillages</t>
  </si>
  <si>
    <t>2022-032</t>
  </si>
  <si>
    <t xml:space="preserve">Calibration TR19-00-00 in-house </t>
  </si>
  <si>
    <t>L:\KL_CO\110_HYFR\AFFAIRES 2022\TARMAC\Devis n°4749 - Calibration TR19-10-00</t>
  </si>
  <si>
    <t>2022-034</t>
  </si>
  <si>
    <t xml:space="preserve">Recertification cric in-house </t>
  </si>
  <si>
    <t>Moyen à recevoir</t>
  </si>
  <si>
    <t>L:\KL_CO\110_HYFR\AFFAIRES 2022\AIR CORSICA\Devis n°4750 - Calibration in-house cric</t>
  </si>
  <si>
    <t>2022-035</t>
  </si>
  <si>
    <t>L:\KL_CO\110_HYFR\AFFAIRES 2022\AIR CORSICA\Devis n°4751 - Calibration in-house cric</t>
  </si>
  <si>
    <t>2022-038</t>
  </si>
  <si>
    <t>Noria n°9 - Remise en service</t>
  </si>
  <si>
    <t>L:\KL_CO\110_HYFR\AFFAIRES 2022\AIA\Devis n°4752 - Maintenance Noria n°9</t>
  </si>
  <si>
    <t>2022-049</t>
  </si>
  <si>
    <t>Noria n°9 - Maintenance curative - Devis curatif à remettre le 12/04/2022</t>
  </si>
  <si>
    <t>L:\KL_CO\110_HYFR\AFFAIRES 2022\AIA\Devis n°4753 - Curatif Noria n°9</t>
  </si>
  <si>
    <t xml:space="preserve">Calibration TR-36 in-house </t>
  </si>
  <si>
    <t>L:\KL_CO\110_HYFR\AFFAIRES 2022\ROYAL AIR MAROC\Devis n°4754 - Calibration test set_TR-36</t>
  </si>
  <si>
    <t xml:space="preserve">Calibration 43 in-house </t>
  </si>
  <si>
    <t>L:\KL_CO\110_HYFR\AFFAIRES 2022\ROYAL AIR MAROC\Devis n°4755 - Calibration wattmetre_43</t>
  </si>
  <si>
    <t xml:space="preserve">Caliration AP6108 in-house </t>
  </si>
  <si>
    <t>L:\KL_CO\110_HYFR\AFFAIRES 2022\ROYAL AIR MAROC\Devis n°4756 - Calibration chain drive hoist_AP6108-6-25</t>
  </si>
  <si>
    <t xml:space="preserve">Calibration DRA707 in-house </t>
  </si>
  <si>
    <t>L:\KL_CO\110_HYFR\AFFAIRES 2022\ROYAL AIR MAROC\Devis n°4757 - Calibration altimètre_DRA707</t>
  </si>
  <si>
    <t>2022-036</t>
  </si>
  <si>
    <t xml:space="preserve">Réparation RT4550-001 in-house </t>
  </si>
  <si>
    <t>L:\KL_CO\110_HYFR\AFFAIRES 2022\HOP\Devis n°4758 - Réparation RT4550</t>
  </si>
  <si>
    <t>BABCOCK</t>
  </si>
  <si>
    <t>Réparation vérin in-house D00406C1B1A02A0</t>
  </si>
  <si>
    <t>L:\KL_CO\110_HYFR\AFFAIRES 2022\BABCOCK\Devis n°4759 - Réparation vérins</t>
  </si>
  <si>
    <t>JET AVIATION</t>
  </si>
  <si>
    <t>Recertification strut Service tool</t>
  </si>
  <si>
    <t>L:\KL_CO\110_HYFR\AFFAIRES 2022\JET AVIATION\Devis n°4760 - Recertification cric Tronair</t>
  </si>
  <si>
    <t>Demande spares</t>
  </si>
  <si>
    <t>L:\KL_CO\110_HYFR\AFFAIRES 2022\HYDRO SYSTEMS KG\Devis n°4761 - fourniture spares</t>
  </si>
  <si>
    <t>Calibration pesons</t>
  </si>
  <si>
    <t>L:\KL_CO\110_HYFR\AFFAIRES 2022\ROYAL AIR MAROC\Devis n°4762 - calibration COFRAC</t>
  </si>
  <si>
    <t>Calibration outillage cassé</t>
  </si>
  <si>
    <t>L:\KL_CO\110_HYFR\AFFAIRES 2022\ROYAL AIR MAROC\Devis n°4763 - CERTIFIED REPAIR_C15292</t>
  </si>
  <si>
    <t>2022-047</t>
  </si>
  <si>
    <t>Noria n°10</t>
  </si>
  <si>
    <t>L:\KL_CO\110_HYFR\AFFAIRES 2022\AIA\Devis n°4764 - Maintenance Noria n°10</t>
  </si>
  <si>
    <t>Noria n°10 - curatif à remettre le 29/04/22</t>
  </si>
  <si>
    <t>L:\KL_CO\110_HYFR\AFFAIRES 2022\AIA\Devis n°4765 - Curatif Noria n°10</t>
  </si>
  <si>
    <t>CORSAIR</t>
  </si>
  <si>
    <t>Réparation bâche RRT102433</t>
  </si>
  <si>
    <t>L:\KL_CO\110_HYFR\AFFAIRES 2022\CORSAIR\Devis n°4766 - Réparation bâche RRT102433</t>
  </si>
  <si>
    <t>Inspection outillages</t>
  </si>
  <si>
    <t>L:\KL_CO\110_HYFR\AFFAIRES 2022\ROYAL AIR MAROC\Devis n°4767 - CERTIFIED INSPECTION</t>
  </si>
  <si>
    <t>Calibration cric TMHCP13</t>
  </si>
  <si>
    <t>Moyen non reçu - Client relancé semaine 15</t>
  </si>
  <si>
    <t>L:\KL_CO\110_HYFR\AFFAIRES 2022\AIR CORSICA\Devis n°4768 - Calibration in-hous cric TMHCP13</t>
  </si>
  <si>
    <t>Non identifiés et outillage ATR</t>
  </si>
  <si>
    <t>L:\KL_CO\110_HYFR\AFFAIRES 2022\ROYAL AIR MAROC\Devis n°4769 - CERTIFIED PERIODIC CALIBRATION</t>
  </si>
  <si>
    <t>EMBRAER</t>
  </si>
  <si>
    <t>Recertification in-house</t>
  </si>
  <si>
    <t>L:\KL_CO\110_HYFR\AFFAIRES 2022\EMBRAER\Devis n°4770 - recertification in-house SG177</t>
  </si>
  <si>
    <t>2022-048</t>
  </si>
  <si>
    <t>Moyen reçu semaine 15</t>
  </si>
  <si>
    <t>L:\KL_CO\110_HYFR\AFFAIRES 2022\AIR CORSICA\Devis n°4771 - Calibration in house RH1030</t>
  </si>
  <si>
    <t>Calibration SG248-001 en Turquie</t>
  </si>
  <si>
    <t>L:\KL_CO\110_HYFR\AFFAIRES 2022\HYDRO SYSTEMS KG\Devis n°4772 - Calibration SG0248 en Turquie</t>
  </si>
  <si>
    <t>ATI</t>
  </si>
  <si>
    <t>2022-050</t>
  </si>
  <si>
    <t>Réparation vérin Hydro</t>
  </si>
  <si>
    <t>Devis à faire pour acceptation client - Cde créé pour ouverture OF</t>
  </si>
  <si>
    <t>L:\KL_CO\110_HYFR\AFFAIRES 2022\AIRBUS\Devis n°4773 - Réparation vérin</t>
  </si>
  <si>
    <t>ASI+ABA</t>
  </si>
  <si>
    <t>2021-012</t>
  </si>
  <si>
    <t>Services pour clients HYKG</t>
  </si>
  <si>
    <t>OPCO 2I</t>
  </si>
  <si>
    <t>NA</t>
  </si>
  <si>
    <t>2022-011</t>
  </si>
  <si>
    <t>Habilitation électrique</t>
  </si>
  <si>
    <t>2022-014</t>
  </si>
  <si>
    <t>Autorisation de conduite R484</t>
  </si>
  <si>
    <t>AIR CARAIBES</t>
  </si>
  <si>
    <t>2021-093</t>
  </si>
  <si>
    <t>Annulation facture 5177</t>
  </si>
  <si>
    <t>L:\KL_CO\110_HYFR\AFFAIRES 2021\AIR CARAIBES\Devis 4661 - Réparation sur site N3</t>
  </si>
  <si>
    <t>Refacturation facture 5177 sans TVA</t>
  </si>
  <si>
    <t>2022-044</t>
  </si>
  <si>
    <t>Formation</t>
  </si>
  <si>
    <t>2022-043</t>
  </si>
  <si>
    <t>2022-042</t>
  </si>
  <si>
    <t>Calibration moyens de levage</t>
  </si>
  <si>
    <t>L:\KL_CO\110_HYFR\AFFAIRES 2022\ROYAL AIR MAROC\Devis n°4774 - certified inspection TMHNA01-00-00</t>
  </si>
  <si>
    <t>Recertifaction on-site client</t>
  </si>
  <si>
    <t>L:\KL_CO\110_HYFR\AFFAIRES 2022\IGO\Devis n°4775- Vérification verins tripodes</t>
  </si>
  <si>
    <t>Calibration outillage</t>
  </si>
  <si>
    <t>L:\KL_CO\110_HYFR\AFFAIRES 2022\ROYAL AIR MAROC\Devis n° 4776 - Certified inspection DIG TURBINE TEST SET TT1000A</t>
  </si>
  <si>
    <t>26/02/2022</t>
  </si>
  <si>
    <t>2044-69</t>
  </si>
  <si>
    <t xml:space="preserve"> </t>
  </si>
  <si>
    <t>27/02/2022</t>
  </si>
  <si>
    <t>28/02/2022</t>
  </si>
  <si>
    <t>BU</t>
  </si>
  <si>
    <t>Spalte1</t>
  </si>
  <si>
    <t>D-Status</t>
  </si>
  <si>
    <t>Refuse Raison</t>
  </si>
  <si>
    <t>externalisation</t>
  </si>
  <si>
    <t>Certification</t>
  </si>
  <si>
    <t>In-House</t>
  </si>
  <si>
    <t>Délai</t>
  </si>
  <si>
    <t>Compétence</t>
  </si>
  <si>
    <t>On-Site</t>
  </si>
  <si>
    <t>N/A</t>
  </si>
  <si>
    <t>Machine</t>
  </si>
  <si>
    <t>Qualité</t>
  </si>
  <si>
    <t>Outils</t>
  </si>
  <si>
    <t>Part. Accepté</t>
  </si>
  <si>
    <t>Client-interne</t>
  </si>
  <si>
    <t>Personnel</t>
  </si>
  <si>
    <t>Place</t>
  </si>
  <si>
    <t>PLT (PV)</t>
  </si>
  <si>
    <t>TOOLING OTHER AIA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</si>
</sst>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0">
    <numFmt numFmtId="164" formatCode="mmm"/>
    <numFmt numFmtId="165" formatCode="dd/mm/yy"/>
    <numFmt numFmtId="166" formatCode="$#,##0_);($#,##0)"/>
    <numFmt numFmtId="167" formatCode="#,##0.0"/>
    <numFmt numFmtId="168" formatCode="#,##0%"/>
    <numFmt numFmtId="169" formatCode="$#,##0.0000000000_);($#,##0.0000000000)"/>
    <numFmt numFmtId="170" formatCode="#,##0.00%"/>
    <numFmt numFmtId="171" formatCode="#,##0.0,"/>
    <numFmt numFmtId="172" formatCode="#,##0,"/>
    <numFmt numFmtId="173" formatCode="#,##0.0,,,"/>
  </numFmts>
  <fonts count="2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b050"/>
      <name val="Calibri"/>
      <family val="2"/>
    </font>
    <font>
      <sz val="12"/>
      <color rgb="FFff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</font>
    <font>
      <sz val="8"/>
      <color rgb="FFff0000"/>
      <name val="Arial"/>
      <family val="2"/>
    </font>
    <font>
      <sz val="11"/>
      <color theme="1"/>
      <name val="Calibri"/>
      <family val="2"/>
    </font>
    <font>
      <sz val="8"/>
      <color rgb="FFff000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1"/>
      <color rgb="FF262626"/>
      <name val="Calibri"/>
      <family val="2"/>
    </font>
    <font>
      <sz val="11"/>
      <color rgb="FF0070c0"/>
      <name val="Calibri"/>
      <family val="2"/>
    </font>
    <font>
      <sz val="12"/>
      <color rgb="FF303030"/>
      <name val="Arial"/>
      <family val="2"/>
    </font>
    <font>
      <u/>
      <sz val="11"/>
      <color rgb="FF000000"/>
      <name val="Calibri"/>
      <family val="2"/>
    </font>
    <font>
      <sz val="11"/>
      <color rgb="FF92d050"/>
      <name val="Calibri"/>
      <family val="2"/>
    </font>
    <font>
      <sz val="11"/>
      <color rgb="FFffc000"/>
      <name val="Calibri"/>
      <family val="2"/>
    </font>
    <font>
      <sz val="11"/>
      <color rgb="FF0d0d0d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7030a0"/>
      </patternFill>
    </fill>
    <fill>
      <patternFill patternType="solid">
        <fgColor rgb="FFe6e0ec"/>
      </patternFill>
    </fill>
    <fill>
      <patternFill patternType="solid">
        <fgColor rgb="FFffff00"/>
      </patternFill>
    </fill>
    <fill>
      <patternFill patternType="solid">
        <fgColor rgb="FFebf1de"/>
      </patternFill>
    </fill>
    <fill>
      <patternFill patternType="solid">
        <fgColor rgb="FFd7e4bd"/>
      </patternFill>
    </fill>
    <fill>
      <patternFill patternType="solid">
        <fgColor rgb="FFb9cde5"/>
      </patternFill>
    </fill>
    <fill>
      <patternFill patternType="solid">
        <fgColor rgb="FFdce6f2"/>
      </patternFill>
    </fill>
    <fill>
      <patternFill patternType="solid">
        <fgColor rgb="FFe6b9b8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77933c"/>
      </patternFill>
    </fill>
    <fill>
      <patternFill patternType="solid">
        <fgColor rgb="FFd9d9d9"/>
      </patternFill>
    </fill>
    <fill>
      <patternFill patternType="solid">
        <fgColor rgb="FF93cddd"/>
      </patternFill>
    </fill>
    <fill>
      <patternFill patternType="solid">
        <fgColor rgb="FFbfbfbf"/>
      </patternFill>
    </fill>
    <fill>
      <patternFill patternType="solid">
        <fgColor rgb="FFfabf2b"/>
      </patternFill>
    </fill>
    <fill>
      <patternFill patternType="solid">
        <fgColor rgb="FFc6d9f1"/>
      </patternFill>
    </fill>
    <fill>
      <patternFill patternType="solid">
        <fgColor rgb="FF92d050"/>
      </patternFill>
    </fill>
    <fill>
      <patternFill patternType="solid">
        <fgColor rgb="FFb7dee8"/>
      </patternFill>
    </fill>
    <fill>
      <patternFill patternType="solid">
        <fgColor rgb="FF00b0f0"/>
      </patternFill>
    </fill>
    <fill>
      <patternFill patternType="solid">
        <fgColor rgb="FFc5d9f1"/>
      </patternFill>
    </fill>
    <fill>
      <patternFill patternType="solid">
        <fgColor rgb="FFfac090"/>
      </patternFill>
    </fill>
    <fill>
      <patternFill patternType="solid">
        <fgColor rgb="FFff0000"/>
      </patternFill>
    </fill>
    <fill>
      <patternFill patternType="solid">
        <fgColor rgb="FFc3d69b"/>
      </patternFill>
    </fill>
    <fill>
      <patternFill patternType="solid">
        <fgColor rgb="FFccc1da"/>
      </patternFill>
    </fill>
    <fill>
      <patternFill patternType="solid">
        <fgColor rgb="FF8db4e2"/>
      </patternFill>
    </fill>
    <fill>
      <patternFill patternType="solid">
        <fgColor rgb="FFb3a2c7"/>
      </patternFill>
    </fill>
    <fill>
      <patternFill patternType="solid">
        <fgColor rgb="FF538dd5"/>
      </patternFill>
    </fill>
    <fill>
      <patternFill patternType="solid">
        <fgColor rgb="FFb4c6e7"/>
      </patternFill>
    </fill>
    <fill>
      <patternFill patternType="solid">
        <fgColor rgb="FF203764"/>
      </patternFill>
    </fill>
    <fill>
      <patternFill patternType="solid">
        <fgColor rgb="FF254061"/>
      </patternFill>
    </fill>
    <fill>
      <patternFill patternType="solid">
        <fgColor rgb="FFffc000"/>
      </patternFill>
    </fill>
    <fill>
      <patternFill patternType="solid">
        <fgColor rgb="FFb7b5dd"/>
      </patternFill>
    </fill>
    <fill>
      <patternFill patternType="solid">
        <fgColor rgb="FFdce6f1"/>
      </patternFill>
    </fill>
    <fill>
      <patternFill patternType="solid">
        <fgColor rgb="FFc4d79b"/>
      </patternFill>
    </fill>
    <fill>
      <patternFill patternType="solid">
        <fgColor rgb="FF002060"/>
      </patternFill>
    </fill>
    <fill>
      <patternFill patternType="solid">
        <fgColor rgb="FFf79646"/>
      </patternFill>
    </fill>
    <fill>
      <patternFill patternType="solid">
        <fgColor rgb="FFa6a6a6"/>
      </patternFill>
    </fill>
    <fill>
      <patternFill patternType="solid">
        <fgColor rgb="FFfdeada"/>
      </patternFill>
    </fill>
    <fill>
      <patternFill patternType="solid">
        <fgColor rgb="FF8eb4e3"/>
      </patternFill>
    </fill>
    <fill>
      <patternFill patternType="solid">
        <fgColor rgb="FFfcd5b5"/>
      </patternFill>
    </fill>
    <fill>
      <patternFill patternType="solid">
        <fgColor rgb="FF558ed5"/>
      </patternFill>
    </fill>
    <fill>
      <patternFill patternType="solid">
        <fgColor rgb="FF31859c"/>
      </patternFill>
    </fill>
  </fills>
  <borders count="6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95b3d7"/>
      </right>
      <top style="thin">
        <color rgb="FF95b3d7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e7e9e9"/>
      </top>
      <bottom/>
      <diagonal/>
    </border>
    <border>
      <left/>
      <right/>
      <top/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</borders>
  <cellStyleXfs count="1">
    <xf numFmtId="0" fontId="0" fillId="0" borderId="0"/>
  </cellStyleXfs>
  <cellXfs count="671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3" applyBorder="1" fontId="1" applyFont="1" fillId="3" applyFill="1" applyAlignment="1">
      <alignment horizontal="left"/>
    </xf>
    <xf xfId="0" numFmtId="0" borderId="4" applyBorder="1" fontId="1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5" applyBorder="1" fontId="2" applyFont="1" fillId="0" applyAlignment="1">
      <alignment horizontal="right"/>
    </xf>
    <xf xfId="0" numFmtId="4" applyNumberFormat="1" borderId="5" applyBorder="1" fontId="2" applyFont="1" fillId="0" applyAlignment="1">
      <alignment horizontal="right"/>
    </xf>
    <xf xfId="0" numFmtId="4" applyNumberFormat="1" borderId="2" applyBorder="1" fontId="2" applyFont="1" fillId="4" applyFill="1" applyAlignment="1">
      <alignment horizontal="right"/>
    </xf>
    <xf xfId="0" numFmtId="4" applyNumberFormat="1" borderId="3" applyBorder="1" fontId="2" applyFont="1" fillId="4" applyFill="1" applyAlignment="1">
      <alignment horizontal="right"/>
    </xf>
    <xf xfId="0" numFmtId="4" applyNumberFormat="1" borderId="1" applyBorder="1" fontId="2" applyFont="1" fillId="4" applyFill="1" applyAlignment="1">
      <alignment horizontal="right"/>
    </xf>
    <xf xfId="0" numFmtId="4" applyNumberFormat="1" borderId="6" applyBorder="1" fontId="2" applyFont="1" fillId="4" applyFill="1" applyAlignment="1">
      <alignment horizontal="right"/>
    </xf>
    <xf xfId="0" numFmtId="4" applyNumberFormat="1" borderId="7" applyBorder="1" fontId="2" applyFont="1" fillId="4" applyFill="1" applyAlignment="1">
      <alignment horizontal="right"/>
    </xf>
    <xf xfId="0" numFmtId="0" borderId="4" applyBorder="1" fontId="2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5" applyBorder="1" fontId="3" applyFont="1" fillId="0" applyAlignment="1">
      <alignment horizontal="left"/>
    </xf>
    <xf xfId="0" numFmtId="164" applyNumberFormat="1" borderId="5" applyBorder="1" fontId="2" applyFont="1" fillId="0" applyAlignment="1">
      <alignment horizontal="right"/>
    </xf>
    <xf xfId="0" numFmtId="0" borderId="5" applyBorder="1" fontId="2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4" applyBorder="1" fontId="2" applyFont="1" fillId="6" applyFill="1" applyAlignment="1">
      <alignment horizontal="left"/>
    </xf>
    <xf xfId="0" numFmtId="0" borderId="4" applyBorder="1" fontId="2" applyFont="1" fillId="7" applyFill="1" applyAlignment="1">
      <alignment horizontal="left"/>
    </xf>
    <xf xfId="0" numFmtId="4" applyNumberFormat="1" borderId="4" applyBorder="1" fontId="2" applyFont="1" fillId="7" applyFill="1" applyAlignment="1">
      <alignment horizontal="right"/>
    </xf>
    <xf xfId="0" numFmtId="0" borderId="4" applyBorder="1" fontId="2" applyFont="1" fillId="8" applyFill="1" applyAlignment="1">
      <alignment horizontal="left"/>
    </xf>
    <xf xfId="0" numFmtId="0" borderId="4" applyBorder="1" fontId="2" applyFont="1" fillId="9" applyFill="1" applyAlignment="1">
      <alignment horizontal="left"/>
    </xf>
    <xf xfId="0" numFmtId="4" applyNumberFormat="1" borderId="4" applyBorder="1" fontId="2" applyFont="1" fillId="8" applyFill="1" applyAlignment="1">
      <alignment horizontal="right"/>
    </xf>
    <xf xfId="0" numFmtId="4" applyNumberFormat="1" borderId="4" applyBorder="1" fontId="2" applyFont="1" fillId="6" applyFill="1" applyAlignment="1">
      <alignment horizontal="left"/>
    </xf>
    <xf xfId="0" numFmtId="0" borderId="5" applyBorder="1" fontId="2" applyFont="1" fillId="0" applyAlignment="1">
      <alignment horizontal="center"/>
    </xf>
    <xf xfId="0" numFmtId="14" applyNumberFormat="1" borderId="5" applyBorder="1" fontId="2" applyFont="1" fillId="0" applyAlignment="1">
      <alignment horizontal="left"/>
    </xf>
    <xf xfId="0" numFmtId="4" applyNumberFormat="1" borderId="4" applyBorder="1" fontId="2" applyFont="1" fillId="6" applyFill="1" applyAlignment="1">
      <alignment horizontal="right"/>
    </xf>
    <xf xfId="0" numFmtId="0" borderId="5" applyBorder="1" fontId="4" applyFont="1" fillId="0" applyAlignment="1">
      <alignment horizontal="left"/>
    </xf>
    <xf xfId="0" numFmtId="4" applyNumberFormat="1" borderId="5" applyBorder="1" fontId="4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4" applyBorder="1" fontId="2" applyFont="1" fillId="5" applyFill="1" applyAlignment="1">
      <alignment horizontal="right"/>
    </xf>
    <xf xfId="0" numFmtId="14" applyNumberFormat="1" borderId="4" applyBorder="1" fontId="2" applyFont="1" fillId="5" applyFill="1" applyAlignment="1">
      <alignment horizontal="left"/>
    </xf>
    <xf xfId="0" numFmtId="4" applyNumberFormat="1" borderId="4" applyBorder="1" fontId="2" applyFont="1" fillId="5" applyFill="1" applyAlignment="1">
      <alignment horizontal="right"/>
    </xf>
    <xf xfId="0" numFmtId="0" borderId="4" applyBorder="1" fontId="2" applyFont="1" fillId="10" applyFill="1" applyAlignment="1">
      <alignment horizontal="left"/>
    </xf>
    <xf xfId="0" numFmtId="4" applyNumberFormat="1" borderId="4" applyBorder="1" fontId="2" applyFont="1" fillId="10" applyFill="1" applyAlignment="1">
      <alignment horizontal="right"/>
    </xf>
    <xf xfId="0" numFmtId="0" borderId="4" applyBorder="1" fontId="2" applyFont="1" fillId="11" applyFill="1" applyAlignment="1">
      <alignment horizontal="left"/>
    </xf>
    <xf xfId="0" numFmtId="14" applyNumberFormat="1" borderId="4" applyBorder="1" fontId="2" applyFont="1" fillId="11" applyFill="1" applyAlignment="1">
      <alignment horizontal="left"/>
    </xf>
    <xf xfId="0" numFmtId="14" applyNumberFormat="1" borderId="5" applyBorder="1" fontId="2" applyFont="1" fillId="0" applyAlignment="1">
      <alignment horizontal="right"/>
    </xf>
    <xf xfId="0" numFmtId="1" applyNumberFormat="1" borderId="5" applyBorder="1" fontId="2" applyFont="1" fillId="0" applyAlignment="1">
      <alignment horizontal="left"/>
    </xf>
    <xf xfId="0" numFmtId="4" applyNumberFormat="1" borderId="4" applyBorder="1" fontId="2" applyFont="1" fillId="11" applyFill="1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0" borderId="0" fontId="0" fillId="0" applyAlignment="1">
      <alignment horizontal="center"/>
    </xf>
    <xf xfId="0" numFmtId="0" borderId="4" applyBorder="1" fontId="4" applyFont="1" fillId="6" applyFill="1" applyAlignment="1">
      <alignment horizontal="center"/>
    </xf>
    <xf xfId="0" numFmtId="0" borderId="4" applyBorder="1" fontId="4" applyFont="1" fillId="7" applyFill="1" applyAlignment="1">
      <alignment horizontal="center"/>
    </xf>
    <xf xfId="0" numFmtId="3" applyNumberFormat="1" borderId="0" fontId="0" fillId="0" applyAlignment="1">
      <alignment horizontal="right"/>
    </xf>
    <xf xfId="0" numFmtId="0" borderId="4" applyBorder="1" fontId="2" applyFont="1" fillId="12" applyFill="1" applyAlignment="1">
      <alignment horizontal="left"/>
    </xf>
    <xf xfId="0" numFmtId="0" borderId="4" applyBorder="1" fontId="4" applyFont="1" fillId="13" applyFill="1" applyAlignment="1">
      <alignment horizontal="center"/>
    </xf>
    <xf xfId="0" numFmtId="1" applyNumberFormat="1" borderId="4" applyBorder="1" fontId="2" applyFont="1" fillId="6" applyFill="1" applyAlignment="1">
      <alignment horizontal="center"/>
    </xf>
    <xf xfId="0" numFmtId="0" borderId="8" applyBorder="1" fontId="4" applyFont="1" fillId="6" applyFill="1" applyAlignment="1">
      <alignment horizontal="center"/>
    </xf>
    <xf xfId="0" numFmtId="0" borderId="8" applyBorder="1" fontId="4" applyFont="1" fillId="7" applyFill="1" applyAlignment="1">
      <alignment horizontal="center" wrapText="1"/>
    </xf>
    <xf xfId="0" numFmtId="3" applyNumberFormat="1" borderId="8" applyBorder="1" fontId="4" applyFont="1" fillId="7" applyFill="1" applyAlignment="1">
      <alignment horizontal="center" wrapText="1"/>
    </xf>
    <xf xfId="0" numFmtId="0" borderId="8" applyBorder="1" fontId="4" applyFont="1" fillId="12" applyFill="1" applyAlignment="1">
      <alignment horizontal="center"/>
    </xf>
    <xf xfId="0" numFmtId="0" borderId="8" applyBorder="1" fontId="4" applyFont="1" fillId="13" applyFill="1" applyAlignment="1">
      <alignment horizontal="center"/>
    </xf>
    <xf xfId="0" numFmtId="0" borderId="8" applyBorder="1" fontId="4" applyFont="1" fillId="13" applyFill="1" applyAlignment="1">
      <alignment horizontal="center" wrapText="1"/>
    </xf>
    <xf xfId="0" numFmtId="0" borderId="4" applyBorder="1" fontId="2" applyFont="1" fillId="14" applyFill="1" applyAlignment="1">
      <alignment horizontal="left"/>
    </xf>
    <xf xfId="0" numFmtId="0" borderId="4" applyBorder="1" fontId="2" applyFont="1" fillId="11" applyFill="1" applyAlignment="1">
      <alignment horizontal="left"/>
    </xf>
    <xf xfId="0" numFmtId="0" borderId="4" applyBorder="1" fontId="2" applyFont="1" fillId="11" applyFill="1" applyAlignment="1">
      <alignment horizontal="right"/>
    </xf>
    <xf xfId="0" numFmtId="3" applyNumberFormat="1" borderId="4" applyBorder="1" fontId="2" applyFont="1" fillId="11" applyFill="1" applyAlignment="1">
      <alignment horizontal="right"/>
    </xf>
    <xf xfId="0" numFmtId="1" applyNumberFormat="1" borderId="4" applyBorder="1" fontId="2" applyFont="1" fillId="11" applyFill="1" applyAlignment="1">
      <alignment horizontal="center"/>
    </xf>
    <xf xfId="0" numFmtId="165" applyNumberFormat="1" borderId="4" applyBorder="1" fontId="2" applyFont="1" fillId="11" applyFill="1" applyAlignment="1">
      <alignment horizontal="left"/>
    </xf>
    <xf xfId="0" numFmtId="1" applyNumberFormat="1" borderId="4" applyBorder="1" fontId="2" applyFont="1" fillId="14" applyFill="1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166" applyNumberFormat="1" borderId="0" fontId="0" fillId="0" applyAlignment="1">
      <alignment horizontal="general"/>
    </xf>
    <xf xfId="0" numFmtId="0" borderId="9" applyBorder="1" fontId="5" applyFont="1" fillId="0" applyAlignment="1">
      <alignment horizontal="center"/>
    </xf>
    <xf xfId="0" numFmtId="3" applyNumberFormat="1" borderId="8" applyBorder="1" fontId="5" applyFont="1" fillId="15" applyFill="1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166" applyNumberFormat="1" borderId="9" applyBorder="1" fontId="5" applyFont="1" fillId="0" applyAlignment="1">
      <alignment horizontal="center"/>
    </xf>
    <xf xfId="0" numFmtId="166" applyNumberFormat="1" borderId="9" applyBorder="1" fontId="6" applyFont="1" fillId="0" applyAlignment="1">
      <alignment horizontal="center"/>
    </xf>
    <xf xfId="0" numFmtId="3" applyNumberFormat="1" borderId="9" applyBorder="1" fontId="6" applyFont="1" fillId="0" applyAlignment="1">
      <alignment horizontal="center"/>
    </xf>
    <xf xfId="0" numFmtId="0" borderId="9" applyBorder="1" fontId="6" applyFont="1" fillId="0" applyAlignment="1">
      <alignment horizontal="center"/>
    </xf>
    <xf xfId="0" numFmtId="0" borderId="8" applyBorder="1" fontId="6" applyFont="1" fillId="11" applyFill="1" applyAlignment="1">
      <alignment horizontal="center"/>
    </xf>
    <xf xfId="0" numFmtId="0" borderId="10" applyBorder="1" fontId="6" applyFont="1" fillId="0" applyAlignment="1">
      <alignment horizontal="center"/>
    </xf>
    <xf xfId="0" numFmtId="0" borderId="8" applyBorder="1" fontId="6" applyFont="1" fillId="16" applyFill="1" applyAlignment="1">
      <alignment horizontal="center"/>
    </xf>
    <xf xfId="0" numFmtId="166" applyNumberFormat="1" borderId="5" applyBorder="1" fontId="5" applyFont="1" fillId="0" applyAlignment="1">
      <alignment horizontal="right"/>
    </xf>
    <xf xfId="0" numFmtId="3" applyNumberFormat="1" borderId="5" applyBorder="1" fontId="5" applyFont="1" fillId="0" applyAlignment="1">
      <alignment horizontal="center"/>
    </xf>
    <xf xfId="0" numFmtId="4" applyNumberFormat="1" borderId="5" applyBorder="1" fontId="5" applyFont="1" fillId="0" applyAlignment="1">
      <alignment horizontal="right"/>
    </xf>
    <xf xfId="0" numFmtId="3" applyNumberFormat="1" borderId="5" applyBorder="1" fontId="5" applyFont="1" fillId="0" applyAlignment="1">
      <alignment horizontal="right"/>
    </xf>
    <xf xfId="0" numFmtId="1" applyNumberFormat="1" borderId="11" applyBorder="1" fontId="5" applyFont="1" fillId="0" applyAlignment="1">
      <alignment horizontal="left"/>
    </xf>
    <xf xfId="0" numFmtId="1" applyNumberFormat="1" borderId="5" applyBorder="1" fontId="5" applyFont="1" fillId="0" applyAlignment="1">
      <alignment horizontal="left"/>
    </xf>
    <xf xfId="0" numFmtId="1" applyNumberFormat="1" borderId="4" applyBorder="1" fontId="5" applyFont="1" fillId="16" applyFill="1" applyAlignment="1">
      <alignment horizontal="left"/>
    </xf>
    <xf xfId="0" numFmtId="1" applyNumberFormat="1" borderId="5" applyBorder="1" fontId="5" applyFont="1" fillId="0" applyAlignment="1">
      <alignment horizontal="center"/>
    </xf>
    <xf xfId="0" numFmtId="166" applyNumberFormat="1" borderId="5" applyBorder="1" fontId="7" applyFont="1" fillId="0" applyAlignment="1">
      <alignment horizontal="right"/>
    </xf>
    <xf xfId="0" numFmtId="1" applyNumberFormat="1" borderId="12" applyBorder="1" fontId="5" applyFont="1" fillId="0" applyAlignment="1">
      <alignment horizontal="left"/>
    </xf>
    <xf xfId="0" numFmtId="166" applyNumberFormat="1" borderId="9" applyBorder="1" fontId="5" applyFont="1" fillId="0" applyAlignment="1">
      <alignment horizontal="right"/>
    </xf>
    <xf xfId="0" numFmtId="166" applyNumberFormat="1" borderId="9" applyBorder="1" fontId="7" applyFont="1" fillId="0" applyAlignment="1">
      <alignment horizontal="right"/>
    </xf>
    <xf xfId="0" numFmtId="3" applyNumberFormat="1" borderId="9" applyBorder="1" fontId="5" applyFont="1" fillId="0" applyAlignment="1">
      <alignment horizontal="right"/>
    </xf>
    <xf xfId="0" numFmtId="1" applyNumberFormat="1" borderId="13" applyBorder="1" fontId="5" applyFont="1" fillId="0" applyAlignment="1">
      <alignment horizontal="left"/>
    </xf>
    <xf xfId="0" numFmtId="1" applyNumberFormat="1" borderId="9" applyBorder="1" fontId="5" applyFont="1" fillId="0" applyAlignment="1">
      <alignment horizontal="left"/>
    </xf>
    <xf xfId="0" numFmtId="1" applyNumberFormat="1" borderId="8" applyBorder="1" fontId="5" applyFont="1" fillId="16" applyFill="1" applyAlignment="1">
      <alignment horizontal="left"/>
    </xf>
    <xf xfId="0" numFmtId="1" applyNumberFormat="1" borderId="9" applyBorder="1" fontId="5" applyFont="1" fillId="0" applyAlignment="1">
      <alignment horizontal="center"/>
    </xf>
    <xf xfId="0" numFmtId="166" applyNumberFormat="1" borderId="14" applyBorder="1" fontId="5" applyFont="1" fillId="5" applyFill="1" applyAlignment="1">
      <alignment horizontal="right"/>
    </xf>
    <xf xfId="0" numFmtId="166" applyNumberFormat="1" borderId="10" applyBorder="1" fontId="5" applyFont="1" fillId="0" applyAlignment="1">
      <alignment horizontal="right"/>
    </xf>
    <xf xfId="0" numFmtId="0" borderId="15" applyBorder="1" fontId="5" applyFont="1" fillId="0" applyAlignment="1">
      <alignment horizontal="center" vertical="top" wrapText="1"/>
    </xf>
    <xf xfId="0" numFmtId="4" applyNumberFormat="1" borderId="5" applyBorder="1" fontId="5" applyFont="1" fillId="0" applyAlignment="1">
      <alignment horizontal="center"/>
    </xf>
    <xf xfId="0" numFmtId="167" applyNumberFormat="1" borderId="16" applyBorder="1" fontId="5" applyFont="1" fillId="0" applyAlignment="1">
      <alignment horizontal="center"/>
    </xf>
    <xf xfId="0" numFmtId="167" applyNumberFormat="1" borderId="5" applyBorder="1" fontId="8" applyFont="1" fillId="0" applyAlignment="1">
      <alignment horizontal="center"/>
    </xf>
    <xf xfId="0" numFmtId="167" applyNumberFormat="1" borderId="5" applyBorder="1" fontId="5" applyFont="1" fillId="0" applyAlignment="1">
      <alignment horizontal="center"/>
    </xf>
    <xf xfId="0" numFmtId="1" applyNumberFormat="1" borderId="16" applyBorder="1" fontId="5" applyFont="1" fillId="0" applyAlignment="1">
      <alignment horizontal="center"/>
    </xf>
    <xf xfId="0" numFmtId="1" applyNumberFormat="1" borderId="5" applyBorder="1" fontId="8" applyFont="1" fillId="0" applyAlignment="1">
      <alignment horizontal="center"/>
    </xf>
    <xf xfId="0" numFmtId="0" borderId="9" applyBorder="1" fontId="2" applyFont="1" fillId="0" applyAlignment="1">
      <alignment horizontal="left"/>
    </xf>
    <xf xfId="0" numFmtId="167" applyNumberFormat="1" borderId="10" applyBorder="1" fontId="5" applyFont="1" fillId="0" applyAlignment="1">
      <alignment horizontal="center"/>
    </xf>
    <xf xfId="0" numFmtId="167" applyNumberFormat="1" borderId="9" applyBorder="1" fontId="6" applyFont="1" fillId="0" applyAlignment="1">
      <alignment horizontal="center"/>
    </xf>
    <xf xfId="0" numFmtId="167" applyNumberFormat="1" borderId="9" applyBorder="1" fontId="8" applyFont="1" fillId="0" applyAlignment="1">
      <alignment horizontal="center"/>
    </xf>
    <xf xfId="0" numFmtId="167" applyNumberFormat="1" borderId="9" applyBorder="1" fontId="5" applyFont="1" fillId="0" applyAlignment="1">
      <alignment horizontal="center"/>
    </xf>
    <xf xfId="0" numFmtId="1" applyNumberFormat="1" borderId="5" applyBorder="1" fontId="6" applyFont="1" fillId="0" applyAlignment="1">
      <alignment horizontal="center"/>
    </xf>
    <xf xfId="0" numFmtId="1" applyNumberFormat="1" borderId="10" applyBorder="1" fontId="5" applyFont="1" fillId="0" applyAlignment="1">
      <alignment horizontal="center"/>
    </xf>
    <xf xfId="0" numFmtId="1" applyNumberFormat="1" borderId="9" applyBorder="1" fontId="8" applyFont="1" fillId="0" applyAlignment="1">
      <alignment horizontal="center"/>
    </xf>
    <xf xfId="0" numFmtId="1" applyNumberFormat="1" borderId="9" applyBorder="1" fontId="6" applyFont="1" fillId="0" applyAlignment="1">
      <alignment horizontal="center"/>
    </xf>
    <xf xfId="0" numFmtId="1" applyNumberFormat="1" borderId="5" applyBorder="1" fontId="2" applyFont="1" fillId="0" applyAlignment="1">
      <alignment horizontal="center"/>
    </xf>
    <xf xfId="0" numFmtId="1" applyNumberFormat="1" borderId="5" applyBorder="1" fontId="9" applyFont="1" fillId="0" applyAlignment="1">
      <alignment horizontal="left"/>
    </xf>
    <xf xfId="0" numFmtId="0" borderId="4" applyBorder="1" fontId="4" applyFont="1" fillId="17" applyFill="1" applyAlignment="1">
      <alignment horizontal="left"/>
    </xf>
    <xf xfId="0" numFmtId="166" applyNumberFormat="1" borderId="4" applyBorder="1" fontId="9" applyFont="1" fillId="17" applyFill="1" applyAlignment="1">
      <alignment horizontal="center"/>
    </xf>
    <xf xfId="0" numFmtId="1" applyNumberFormat="1" borderId="5" applyBorder="1" fontId="4" applyFont="1" fillId="0" applyAlignment="1">
      <alignment horizontal="left"/>
    </xf>
    <xf xfId="0" numFmtId="166" applyNumberFormat="1" borderId="5" applyBorder="1" fontId="4" applyFont="1" fillId="0" applyAlignment="1">
      <alignment horizontal="center"/>
    </xf>
    <xf xfId="0" numFmtId="0" borderId="5" applyBorder="1" fontId="5" applyFont="1" fillId="0" applyAlignment="1">
      <alignment horizontal="left"/>
    </xf>
    <xf xfId="0" numFmtId="166" applyNumberFormat="1" borderId="5" applyBorder="1" fontId="2" applyFont="1" fillId="0" applyAlignment="1">
      <alignment horizontal="right"/>
    </xf>
    <xf xfId="0" numFmtId="3" applyNumberFormat="1" borderId="9" applyBorder="1" fontId="4" applyFont="1" fillId="0" applyAlignment="1">
      <alignment horizontal="left"/>
    </xf>
    <xf xfId="0" numFmtId="3" applyNumberFormat="1" borderId="9" applyBorder="1" fontId="5" applyFont="1" fillId="0" applyAlignment="1">
      <alignment horizontal="left"/>
    </xf>
    <xf xfId="0" numFmtId="166" applyNumberFormat="1" borderId="9" applyBorder="1" fontId="5" applyFont="1" fillId="0" applyAlignment="1">
      <alignment horizontal="left"/>
    </xf>
    <xf xfId="0" numFmtId="0" borderId="4" applyBorder="1" fontId="2" applyFont="1" fillId="14" applyFill="1" applyAlignment="1">
      <alignment horizontal="left"/>
    </xf>
    <xf xfId="0" numFmtId="3" applyNumberFormat="1" borderId="4" applyBorder="1" fontId="2" applyFont="1" fillId="14" applyFill="1" applyAlignment="1">
      <alignment horizontal="left"/>
    </xf>
    <xf xfId="0" numFmtId="3" applyNumberFormat="1" borderId="4" applyBorder="1" fontId="5" applyFont="1" fillId="14" applyFill="1" applyAlignment="1">
      <alignment horizontal="left"/>
    </xf>
    <xf xfId="0" numFmtId="14" applyNumberFormat="1" borderId="4" applyBorder="1" fontId="2" applyFont="1" fillId="14" applyFill="1" applyAlignment="1">
      <alignment horizontal="left"/>
    </xf>
    <xf xfId="0" numFmtId="166" applyNumberFormat="1" borderId="4" applyBorder="1" fontId="2" applyFont="1" fillId="14" applyFill="1" applyAlignment="1">
      <alignment horizontal="center"/>
    </xf>
    <xf xfId="0" numFmtId="14" applyNumberFormat="1" borderId="4" applyBorder="1" fontId="9" applyFont="1" fillId="14" applyFill="1" applyAlignment="1">
      <alignment horizontal="left"/>
    </xf>
    <xf xfId="0" numFmtId="3" applyNumberFormat="1" borderId="4" applyBorder="1" fontId="2" applyFont="1" fillId="14" applyFill="1" applyAlignment="1">
      <alignment horizontal="right"/>
    </xf>
    <xf xfId="0" numFmtId="166" applyNumberFormat="1" borderId="4" applyBorder="1" fontId="5" applyFont="1" fillId="14" applyFill="1" applyAlignment="1">
      <alignment horizontal="left"/>
    </xf>
    <xf xfId="0" numFmtId="0" borderId="4" applyBorder="1" fontId="5" applyFont="1" fillId="14" applyFill="1" applyAlignment="1">
      <alignment horizontal="left"/>
    </xf>
    <xf xfId="0" numFmtId="0" borderId="8" applyBorder="1" fontId="2" applyFont="1" fillId="6" applyFill="1" applyAlignment="1">
      <alignment horizontal="left"/>
    </xf>
    <xf xfId="0" numFmtId="3" applyNumberFormat="1" borderId="4" applyBorder="1" fontId="5" applyFont="1" fillId="11" applyFill="1" applyAlignment="1">
      <alignment horizontal="left"/>
    </xf>
    <xf xfId="0" numFmtId="166" applyNumberFormat="1" borderId="4" applyBorder="1" fontId="2" applyFont="1" fillId="11" applyFill="1" applyAlignment="1">
      <alignment horizontal="center"/>
    </xf>
    <xf xfId="0" numFmtId="14" applyNumberFormat="1" borderId="8" applyBorder="1" fontId="2" applyFont="1" fillId="6" applyFill="1" applyAlignment="1">
      <alignment horizontal="left"/>
    </xf>
    <xf xfId="0" numFmtId="166" applyNumberFormat="1" borderId="8" applyBorder="1" fontId="2" applyFont="1" fillId="6" applyFill="1" applyAlignment="1">
      <alignment horizontal="left"/>
    </xf>
    <xf xfId="0" numFmtId="3" applyNumberFormat="1" borderId="8" applyBorder="1" fontId="2" applyFont="1" fillId="6" applyFill="1" applyAlignment="1">
      <alignment horizontal="right"/>
    </xf>
    <xf xfId="0" numFmtId="166" applyNumberFormat="1" borderId="4" applyBorder="1" fontId="5" applyFont="1" fillId="11" applyFill="1" applyAlignment="1">
      <alignment horizontal="left"/>
    </xf>
    <xf xfId="0" numFmtId="0" borderId="4" applyBorder="1" fontId="5" applyFont="1" fillId="11" applyFill="1" applyAlignment="1">
      <alignment horizontal="left"/>
    </xf>
    <xf xfId="0" numFmtId="0" borderId="17" applyBorder="1" fontId="2" applyFont="1" fillId="4" applyFill="1" applyAlignment="1">
      <alignment horizontal="left"/>
    </xf>
    <xf xfId="0" numFmtId="14" applyNumberFormat="1" borderId="17" applyBorder="1" fontId="2" applyFont="1" fillId="4" applyFill="1" applyAlignment="1">
      <alignment horizontal="left"/>
    </xf>
    <xf xfId="0" numFmtId="166" applyNumberFormat="1" borderId="17" applyBorder="1" fontId="2" applyFont="1" fillId="4" applyFill="1" applyAlignment="1">
      <alignment horizontal="left"/>
    </xf>
    <xf xfId="0" numFmtId="3" applyNumberFormat="1" borderId="17" applyBorder="1" fontId="2" applyFont="1" fillId="4" applyFill="1" applyAlignment="1">
      <alignment horizontal="right"/>
    </xf>
    <xf xfId="0" numFmtId="0" borderId="4" applyBorder="1" fontId="2" applyFont="1" fillId="4" applyFill="1" applyAlignment="1">
      <alignment horizontal="left"/>
    </xf>
    <xf xfId="0" numFmtId="14" applyNumberFormat="1" borderId="4" applyBorder="1" fontId="2" applyFont="1" fillId="4" applyFill="1" applyAlignment="1">
      <alignment horizontal="left"/>
    </xf>
    <xf xfId="0" numFmtId="166" applyNumberFormat="1" borderId="4" applyBorder="1" fontId="2" applyFont="1" fillId="4" applyFill="1" applyAlignment="1">
      <alignment horizontal="left"/>
    </xf>
    <xf xfId="0" numFmtId="3" applyNumberFormat="1" borderId="4" applyBorder="1" fontId="2" applyFont="1" fillId="4" applyFill="1" applyAlignment="1">
      <alignment horizontal="right"/>
    </xf>
    <xf xfId="0" numFmtId="0" borderId="8" applyBorder="1" fontId="2" applyFont="1" fillId="18" applyFill="1" applyAlignment="1">
      <alignment horizontal="left"/>
    </xf>
    <xf xfId="0" numFmtId="14" applyNumberFormat="1" borderId="9" applyBorder="1" fontId="2" applyFont="1" fillId="0" applyAlignment="1">
      <alignment horizontal="left"/>
    </xf>
    <xf xfId="0" numFmtId="1" applyNumberFormat="1" borderId="9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right"/>
    </xf>
    <xf xfId="0" numFmtId="166" applyNumberFormat="1" borderId="5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left"/>
    </xf>
    <xf xfId="0" numFmtId="166" applyNumberFormat="1" borderId="9" applyBorder="1" fontId="2" applyFont="1" fillId="0" applyAlignment="1">
      <alignment horizontal="center"/>
    </xf>
    <xf xfId="0" numFmtId="166" applyNumberFormat="1" borderId="9" applyBorder="1" fontId="2" applyFont="1" fillId="0" applyAlignment="1">
      <alignment horizontal="left"/>
    </xf>
    <xf xfId="0" numFmtId="166" applyNumberFormat="1" borderId="4" applyBorder="1" fontId="2" applyFont="1" fillId="5" applyFill="1" applyAlignment="1">
      <alignment horizontal="left"/>
    </xf>
    <xf xfId="0" numFmtId="3" applyNumberFormat="1" borderId="4" applyBorder="1" fontId="4" applyFont="1" fillId="5" applyFill="1" applyAlignment="1">
      <alignment horizontal="right"/>
    </xf>
    <xf xfId="0" numFmtId="3" applyNumberFormat="1" borderId="5" applyBorder="1" fontId="2" applyFont="1" fillId="0" applyAlignment="1">
      <alignment horizontal="center"/>
    </xf>
    <xf xfId="0" numFmtId="166" applyNumberFormat="1" borderId="12" applyBorder="1" fontId="2" applyFont="1" fillId="0" applyAlignment="1">
      <alignment horizontal="right"/>
    </xf>
    <xf xfId="0" numFmtId="166" applyNumberFormat="1" borderId="9" applyBorder="1" fontId="2" applyFont="1" fillId="0" applyAlignment="1">
      <alignment horizontal="right"/>
    </xf>
    <xf xfId="0" numFmtId="166" applyNumberFormat="1" borderId="13" applyBorder="1" fontId="2" applyFont="1" fillId="0" applyAlignment="1">
      <alignment horizontal="right"/>
    </xf>
    <xf xfId="0" numFmtId="168" applyNumberFormat="1" borderId="5" applyBorder="1" fontId="5" applyFont="1" fillId="0" applyAlignment="1">
      <alignment horizontal="center"/>
    </xf>
    <xf xfId="0" numFmtId="166" applyNumberFormat="1" borderId="5" applyBorder="1" fontId="5" applyFont="1" fillId="0" applyAlignment="1">
      <alignment horizontal="center"/>
    </xf>
    <xf xfId="0" numFmtId="3" applyNumberFormat="1" borderId="5" applyBorder="1" fontId="10" applyFont="1" fillId="0" applyAlignment="1">
      <alignment horizontal="left" wrapText="1"/>
    </xf>
    <xf xfId="0" numFmtId="166" applyNumberFormat="1" borderId="5" applyBorder="1" fontId="10" applyFont="1" fillId="0" applyAlignment="1">
      <alignment horizontal="left" wrapText="1"/>
    </xf>
    <xf xfId="0" numFmtId="166" applyNumberFormat="1" borderId="5" applyBorder="1" fontId="10" applyFont="1" fillId="0" applyAlignment="1">
      <alignment horizontal="left"/>
    </xf>
    <xf xfId="0" numFmtId="0" borderId="5" applyBorder="1" fontId="10" applyFont="1" fillId="0" applyAlignment="1">
      <alignment horizontal="left" wrapText="1"/>
    </xf>
    <xf xfId="0" numFmtId="0" borderId="5" applyBorder="1" fontId="11" applyFont="1" fillId="0" applyAlignment="1">
      <alignment horizontal="left" wrapText="1"/>
    </xf>
    <xf xfId="0" numFmtId="4" applyNumberFormat="1" borderId="5" applyBorder="1" fontId="11" applyFont="1" fillId="0" applyAlignment="1">
      <alignment horizontal="right" wrapText="1"/>
    </xf>
    <xf xfId="0" numFmtId="0" borderId="12" applyBorder="1" fontId="10" applyFont="1" fillId="0" applyAlignment="1">
      <alignment horizontal="left" wrapText="1"/>
    </xf>
    <xf xfId="0" numFmtId="0" borderId="5" applyBorder="1" fontId="10" applyFont="1" fillId="0" applyAlignment="1">
      <alignment horizontal="center" wrapText="1"/>
    </xf>
    <xf xfId="0" numFmtId="0" borderId="5" applyBorder="1" fontId="11" applyFont="1" fillId="0" applyAlignment="1">
      <alignment horizontal="left"/>
    </xf>
    <xf xfId="0" numFmtId="1" applyNumberFormat="1" borderId="4" applyBorder="1" fontId="4" applyFont="1" fillId="19" applyFill="1" applyAlignment="1">
      <alignment horizontal="left"/>
    </xf>
    <xf xfId="0" numFmtId="166" applyNumberFormat="1" borderId="4" applyBorder="1" fontId="9" applyFont="1" fillId="19" applyFill="1" applyAlignment="1">
      <alignment horizontal="center"/>
    </xf>
    <xf xfId="0" numFmtId="0" borderId="5" applyBorder="1" fontId="10" applyFont="1" fillId="0" applyAlignment="1">
      <alignment horizontal="left"/>
    </xf>
    <xf xfId="0" numFmtId="0" borderId="12" applyBorder="1" fontId="10" applyFont="1" fillId="0" applyAlignment="1">
      <alignment horizontal="left"/>
    </xf>
    <xf xfId="0" numFmtId="3" applyNumberFormat="1" borderId="4" applyBorder="1" fontId="2" applyFont="1" fillId="19" applyFill="1" applyAlignment="1">
      <alignment horizontal="center"/>
    </xf>
    <xf xfId="0" numFmtId="0" borderId="5" applyBorder="1" fontId="12" applyFont="1" fillId="0" applyAlignment="1">
      <alignment horizontal="center" wrapText="1"/>
    </xf>
    <xf xfId="0" numFmtId="166" applyNumberFormat="1" borderId="5" applyBorder="1" fontId="11" applyFont="1" fillId="0" applyAlignment="1">
      <alignment horizontal="left" wrapText="1"/>
    </xf>
    <xf xfId="0" numFmtId="3" applyNumberFormat="1" borderId="5" applyBorder="1" fontId="11" applyFont="1" fillId="0" applyAlignment="1">
      <alignment horizontal="left" wrapText="1"/>
    </xf>
    <xf xfId="0" numFmtId="0" borderId="5" applyBorder="1" fontId="13" applyFont="1" fillId="0" applyAlignment="1">
      <alignment horizontal="left" wrapText="1"/>
    </xf>
    <xf xfId="0" numFmtId="3" applyNumberFormat="1" borderId="5" applyBorder="1" fontId="13" applyFont="1" fillId="0" applyAlignment="1">
      <alignment horizontal="left" wrapText="1"/>
    </xf>
    <xf xfId="0" numFmtId="4" applyNumberFormat="1" borderId="5" applyBorder="1" fontId="10" applyFont="1" fillId="0" applyAlignment="1">
      <alignment horizontal="right" wrapText="1"/>
    </xf>
    <xf xfId="0" numFmtId="3" applyNumberFormat="1" borderId="5" applyBorder="1" fontId="14" applyFont="1" fillId="0" applyAlignment="1">
      <alignment horizontal="left"/>
    </xf>
    <xf xfId="0" numFmtId="166" applyNumberFormat="1" borderId="5" applyBorder="1" fontId="9" applyFont="1" fillId="0" applyAlignment="1">
      <alignment horizontal="left"/>
    </xf>
    <xf xfId="0" numFmtId="3" applyNumberFormat="1" borderId="5" applyBorder="1" fontId="2" applyFont="1" fillId="0" applyAlignment="1">
      <alignment horizontal="left" wrapText="1"/>
    </xf>
    <xf xfId="0" numFmtId="0" borderId="5" applyBorder="1" fontId="4" applyFont="1" fillId="0" applyAlignment="1">
      <alignment horizontal="center"/>
    </xf>
    <xf xfId="0" numFmtId="3" applyNumberFormat="1" borderId="5" applyBorder="1" fontId="2" applyFont="1" fillId="0" applyAlignment="1">
      <alignment horizontal="left"/>
    </xf>
    <xf xfId="0" numFmtId="0" borderId="5" applyBorder="1" fontId="9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0" borderId="5" applyBorder="1" fontId="15" applyFont="1" fillId="0" applyAlignment="1">
      <alignment horizontal="center" wrapText="1"/>
    </xf>
    <xf xfId="0" numFmtId="3" applyNumberFormat="1" borderId="5" applyBorder="1" fontId="9" applyFont="1" fillId="0" applyAlignment="1">
      <alignment horizontal="right"/>
    </xf>
    <xf xfId="0" numFmtId="0" borderId="9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center"/>
    </xf>
    <xf xfId="0" numFmtId="0" borderId="4" applyBorder="1" fontId="2" applyFont="1" fillId="18" applyFill="1" applyAlignment="1">
      <alignment horizontal="right"/>
    </xf>
    <xf xfId="0" numFmtId="3" applyNumberFormat="1" borderId="4" applyBorder="1" fontId="2" applyFont="1" fillId="18" applyFill="1" applyAlignment="1">
      <alignment horizontal="left"/>
    </xf>
    <xf xfId="0" numFmtId="0" borderId="4" applyBorder="1" fontId="2" applyFont="1" fillId="18" applyFill="1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4" applyBorder="1" fontId="2" applyFont="1" fillId="18" applyFill="1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0" fontId="0" fillId="0" applyAlignment="1">
      <alignment horizontal="left"/>
    </xf>
    <xf xfId="0" numFmtId="166" applyNumberFormat="1" borderId="0" fontId="0" fillId="0" applyAlignment="1">
      <alignment horizontal="general"/>
    </xf>
    <xf xfId="0" numFmtId="3" applyNumberFormat="1" borderId="18" applyBorder="1" fontId="4" applyFont="1" fillId="0" applyAlignment="1">
      <alignment horizontal="center"/>
    </xf>
    <xf xfId="0" numFmtId="166" applyNumberFormat="1" borderId="19" applyBorder="1" fontId="4" applyFont="1" fillId="0" applyAlignment="1">
      <alignment horizontal="center"/>
    </xf>
    <xf xfId="0" numFmtId="0" borderId="19" applyBorder="1" fontId="4" applyFont="1" fillId="0" applyAlignment="1">
      <alignment horizontal="center"/>
    </xf>
    <xf xfId="0" numFmtId="0" borderId="20" applyBorder="1" fontId="4" applyFont="1" fillId="0" applyAlignment="1">
      <alignment horizontal="center"/>
    </xf>
    <xf xfId="0" numFmtId="3" applyNumberFormat="1" borderId="21" applyBorder="1" fontId="2" applyFont="1" fillId="0" applyAlignment="1">
      <alignment horizontal="left"/>
    </xf>
    <xf xfId="0" numFmtId="166" applyNumberFormat="1" borderId="22" applyBorder="1" fontId="2" applyFont="1" fillId="0" applyAlignment="1">
      <alignment horizontal="right"/>
    </xf>
    <xf xfId="0" numFmtId="166" applyNumberFormat="1" borderId="23" applyBorder="1" fontId="2" applyFont="1" fillId="0" applyAlignment="1">
      <alignment horizontal="right"/>
    </xf>
    <xf xfId="0" numFmtId="3" applyNumberFormat="1" borderId="24" applyBorder="1" fontId="2" applyFont="1" fillId="0" applyAlignment="1">
      <alignment horizontal="left"/>
    </xf>
    <xf xfId="0" numFmtId="166" applyNumberFormat="1" borderId="25" applyBorder="1" fontId="2" applyFont="1" fillId="0" applyAlignment="1">
      <alignment horizontal="right"/>
    </xf>
    <xf xfId="0" numFmtId="166" applyNumberFormat="1" borderId="26" applyBorder="1" fontId="2" applyFont="1" fillId="0" applyAlignment="1">
      <alignment horizontal="right"/>
    </xf>
    <xf xfId="0" numFmtId="3" applyNumberFormat="1" borderId="27" applyBorder="1" fontId="2" applyFont="1" fillId="0" applyAlignment="1">
      <alignment horizontal="left"/>
    </xf>
    <xf xfId="0" numFmtId="166" applyNumberFormat="1" borderId="28" applyBorder="1" fontId="2" applyFont="1" fillId="0" applyAlignment="1">
      <alignment horizontal="right"/>
    </xf>
    <xf xfId="0" numFmtId="166" applyNumberFormat="1" borderId="29" applyBorder="1" fontId="2" applyFont="1" fillId="0" applyAlignment="1">
      <alignment horizontal="right"/>
    </xf>
    <xf xfId="0" numFmtId="3" applyNumberFormat="1" borderId="18" applyBorder="1" fontId="2" applyFont="1" fillId="0" applyAlignment="1">
      <alignment horizontal="left"/>
    </xf>
    <xf xfId="0" numFmtId="166" applyNumberFormat="1" borderId="19" applyBorder="1" fontId="2" applyFont="1" fillId="0" applyAlignment="1">
      <alignment horizontal="right"/>
    </xf>
    <xf xfId="0" numFmtId="166" applyNumberFormat="1" borderId="30" applyBorder="1" fontId="2" applyFont="1" fillId="0" applyAlignment="1">
      <alignment horizontal="right"/>
    </xf>
    <xf xfId="0" numFmtId="166" applyNumberFormat="1" borderId="31" applyBorder="1" fontId="2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164" applyNumberFormat="1" borderId="32" applyBorder="1" fontId="2" applyFont="1" fillId="11" applyFill="1" applyAlignment="1">
      <alignment horizontal="center"/>
    </xf>
    <xf xfId="0" numFmtId="164" applyNumberFormat="1" borderId="8" applyBorder="1" fontId="2" applyFont="1" fillId="11" applyFill="1" applyAlignment="1">
      <alignment horizontal="center"/>
    </xf>
    <xf xfId="0" numFmtId="0" borderId="13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3" applyNumberFormat="1" borderId="13" applyBorder="1" fontId="2" applyFont="1" fillId="0" applyAlignment="1">
      <alignment horizontal="right"/>
    </xf>
    <xf xfId="0" numFmtId="3" applyNumberFormat="1" borderId="13" applyBorder="1" fontId="4" applyFont="1" fillId="0" applyAlignment="1">
      <alignment horizontal="right"/>
    </xf>
    <xf xfId="0" numFmtId="0" borderId="13" applyBorder="1" fontId="2" applyFont="1" fillId="0" applyAlignment="1">
      <alignment horizontal="left"/>
    </xf>
    <xf xfId="0" numFmtId="3" applyNumberFormat="1" borderId="4" applyBorder="1" fontId="2" applyFont="1" fillId="12" applyFill="1" applyAlignment="1">
      <alignment horizontal="left"/>
    </xf>
    <xf xfId="0" numFmtId="3" applyNumberFormat="1" borderId="11" applyBorder="1" fontId="2" applyFont="1" fillId="0" applyAlignment="1">
      <alignment horizontal="right"/>
    </xf>
    <xf xfId="0" numFmtId="3" applyNumberFormat="1" borderId="33" applyBorder="1" fontId="2" applyFont="1" fillId="0" applyAlignment="1">
      <alignment horizontal="right"/>
    </xf>
    <xf xfId="0" numFmtId="3" applyNumberFormat="1" borderId="34" applyBorder="1" fontId="2" applyFont="1" fillId="0" applyAlignment="1">
      <alignment horizontal="right"/>
    </xf>
    <xf xfId="0" numFmtId="3" applyNumberFormat="1" borderId="8" applyBorder="1" fontId="2" applyFont="1" fillId="12" applyFill="1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3" applyNumberFormat="1" borderId="4" applyBorder="1" fontId="2" applyFont="1" fillId="20" applyFill="1" applyAlignment="1">
      <alignment horizontal="right"/>
    </xf>
    <xf xfId="0" numFmtId="3" applyNumberFormat="1" borderId="35" applyBorder="1" fontId="2" applyFont="1" fillId="20" applyFill="1" applyAlignment="1">
      <alignment horizontal="right"/>
    </xf>
    <xf xfId="0" numFmtId="166" applyNumberFormat="1" borderId="8" applyBorder="1" fontId="2" applyFont="1" fillId="20" applyFill="1" applyAlignment="1">
      <alignment horizontal="right"/>
    </xf>
    <xf xfId="0" numFmtId="3" applyNumberFormat="1" borderId="32" applyBorder="1" fontId="2" applyFont="1" fillId="20" applyFill="1" applyAlignment="1">
      <alignment horizontal="right"/>
    </xf>
    <xf xfId="0" numFmtId="3" applyNumberFormat="1" borderId="8" applyBorder="1" fontId="4" applyFont="1" fillId="21" applyFill="1" applyAlignment="1">
      <alignment horizontal="right"/>
    </xf>
    <xf xfId="0" numFmtId="3" applyNumberFormat="1" borderId="4" applyBorder="1" fontId="2" applyFont="1" fillId="19" applyFill="1" applyAlignment="1">
      <alignment horizontal="right"/>
    </xf>
    <xf xfId="0" numFmtId="3" applyNumberFormat="1" borderId="36" applyBorder="1" fontId="2" applyFont="1" fillId="19" applyFill="1" applyAlignment="1">
      <alignment horizontal="right"/>
    </xf>
    <xf xfId="0" numFmtId="3" applyNumberFormat="1" borderId="8" applyBorder="1" fontId="2" applyFont="1" fillId="19" applyFill="1" applyAlignment="1">
      <alignment horizontal="right"/>
    </xf>
    <xf xfId="0" numFmtId="169" applyNumberFormat="1" borderId="8" applyBorder="1" fontId="2" applyFont="1" fillId="19" applyFill="1" applyAlignment="1">
      <alignment horizontal="right"/>
    </xf>
    <xf xfId="0" numFmtId="3" applyNumberFormat="1" borderId="32" applyBorder="1" fontId="2" applyFont="1" fillId="19" applyFill="1" applyAlignment="1">
      <alignment horizontal="right"/>
    </xf>
    <xf xfId="0" numFmtId="3" applyNumberFormat="1" borderId="8" applyBorder="1" fontId="4" applyFont="1" fillId="19" applyFill="1" applyAlignment="1">
      <alignment horizontal="right"/>
    </xf>
    <xf xfId="0" numFmtId="164" applyNumberFormat="1" borderId="12" applyBorder="1" fontId="2" applyFont="1" fillId="0" applyAlignment="1">
      <alignment horizontal="left"/>
    </xf>
    <xf xfId="0" numFmtId="170" applyNumberFormat="1" borderId="9" applyBorder="1" fontId="4" applyFont="1" fillId="0" applyAlignment="1">
      <alignment horizontal="center"/>
    </xf>
    <xf xfId="0" numFmtId="164" applyNumberFormat="1" borderId="32" applyBorder="1" fontId="4" applyFont="1" fillId="11" applyFill="1" applyAlignment="1">
      <alignment horizontal="center"/>
    </xf>
    <xf xfId="0" numFmtId="164" applyNumberFormat="1" borderId="8" applyBorder="1" fontId="4" applyFont="1" fillId="11" applyFill="1" applyAlignment="1">
      <alignment horizontal="center"/>
    </xf>
    <xf xfId="0" numFmtId="164" applyNumberFormat="1" borderId="14" applyBorder="1" fontId="4" applyFont="1" fillId="11" applyFill="1" applyAlignment="1">
      <alignment horizontal="center"/>
    </xf>
    <xf xfId="0" numFmtId="164" applyNumberFormat="1" borderId="37" applyBorder="1" fontId="4" applyFont="1" fillId="11" applyFill="1" applyAlignment="1">
      <alignment horizontal="center"/>
    </xf>
    <xf xfId="0" numFmtId="3" applyNumberFormat="1" borderId="13" applyBorder="1" fontId="4" applyFont="1" fillId="0" applyAlignment="1">
      <alignment horizontal="center"/>
    </xf>
    <xf xfId="0" numFmtId="3" applyNumberFormat="1" borderId="5" applyBorder="1" fontId="16" applyFont="1" fillId="0" applyAlignment="1">
      <alignment horizontal="left"/>
    </xf>
    <xf xfId="0" numFmtId="170" applyNumberFormat="1" borderId="5" applyBorder="1" fontId="4" applyFont="1" fillId="0" applyAlignment="1">
      <alignment horizontal="center"/>
    </xf>
    <xf xfId="0" numFmtId="164" applyNumberFormat="1" borderId="35" applyBorder="1" fontId="4" applyFont="1" fillId="11" applyFill="1" applyAlignment="1">
      <alignment horizontal="center"/>
    </xf>
    <xf xfId="0" numFmtId="164" applyNumberFormat="1" borderId="4" applyBorder="1" fontId="4" applyFont="1" fillId="11" applyFill="1" applyAlignment="1">
      <alignment horizontal="center"/>
    </xf>
    <xf xfId="0" numFmtId="164" applyNumberFormat="1" borderId="17" applyBorder="1" fontId="4" applyFont="1" fillId="11" applyFill="1" applyAlignment="1">
      <alignment horizontal="center"/>
    </xf>
    <xf xfId="0" numFmtId="164" applyNumberFormat="1" borderId="36" applyBorder="1" fontId="4" applyFont="1" fillId="11" applyFill="1" applyAlignment="1">
      <alignment horizontal="center"/>
    </xf>
    <xf xfId="0" numFmtId="3" applyNumberFormat="1" borderId="12" applyBorder="1" fontId="4" applyFont="1" fillId="0" applyAlignment="1">
      <alignment horizontal="center"/>
    </xf>
    <xf xfId="0" numFmtId="3" applyNumberFormat="1" borderId="4" applyBorder="1" fontId="2" applyFont="1" fillId="22" applyFill="1" applyAlignment="1">
      <alignment horizontal="left"/>
    </xf>
    <xf xfId="0" numFmtId="168" applyNumberFormat="1" borderId="4" applyBorder="1" fontId="4" applyFont="1" fillId="22" applyFill="1" applyAlignment="1">
      <alignment horizontal="right"/>
    </xf>
    <xf xfId="0" numFmtId="3" applyNumberFormat="1" borderId="4" applyBorder="1" fontId="4" applyFont="1" fillId="22" applyFill="1" applyAlignment="1">
      <alignment horizontal="right"/>
    </xf>
    <xf xfId="0" numFmtId="3" applyNumberFormat="1" borderId="4" applyBorder="1" fontId="2" applyFont="1" fillId="22" applyFill="1" applyAlignment="1">
      <alignment horizontal="right"/>
    </xf>
    <xf xfId="0" numFmtId="3" applyNumberFormat="1" borderId="17" applyBorder="1" fontId="2" applyFont="1" fillId="22" applyFill="1" applyAlignment="1">
      <alignment horizontal="left"/>
    </xf>
    <xf xfId="0" numFmtId="170" applyNumberFormat="1" borderId="38" applyBorder="1" fontId="4" applyFont="1" fillId="22" applyFill="1" applyAlignment="1">
      <alignment horizontal="right"/>
    </xf>
    <xf xfId="0" numFmtId="3" applyNumberFormat="1" borderId="36" applyBorder="1" fontId="4" applyFont="1" fillId="22" applyFill="1" applyAlignment="1">
      <alignment horizontal="right"/>
    </xf>
    <xf xfId="0" numFmtId="3" applyNumberFormat="1" borderId="17" applyBorder="1" fontId="4" applyFont="1" fillId="22" applyFill="1" applyAlignment="1">
      <alignment horizontal="right"/>
    </xf>
    <xf xfId="0" numFmtId="3" applyNumberFormat="1" borderId="38" applyBorder="1" fontId="4" applyFont="1" fillId="22" applyFill="1" applyAlignment="1">
      <alignment horizontal="right"/>
    </xf>
    <xf xfId="0" numFmtId="166" applyNumberFormat="1" borderId="39" applyBorder="1" fontId="4" applyFont="1" fillId="0" applyAlignment="1">
      <alignment horizontal="right"/>
    </xf>
    <xf xfId="0" numFmtId="170" applyNumberFormat="1" borderId="14" applyBorder="1" fontId="4" applyFont="1" fillId="22" applyFill="1" applyAlignment="1">
      <alignment horizontal="right"/>
    </xf>
    <xf xfId="0" numFmtId="3" applyNumberFormat="1" borderId="35" applyBorder="1" fontId="4" applyFont="1" fillId="22" applyFill="1" applyAlignment="1">
      <alignment horizontal="right"/>
    </xf>
    <xf xfId="0" numFmtId="3" applyNumberFormat="1" borderId="14" applyBorder="1" fontId="4" applyFont="1" fillId="22" applyFill="1" applyAlignment="1">
      <alignment horizontal="right"/>
    </xf>
    <xf xfId="0" numFmtId="166" applyNumberFormat="1" borderId="28" applyBorder="1" fontId="4" applyFont="1" fillId="0" applyAlignment="1">
      <alignment horizontal="right"/>
    </xf>
    <xf xfId="0" numFmtId="3" applyNumberFormat="1" borderId="39" applyBorder="1" fontId="4" applyFont="1" fillId="0" applyAlignment="1">
      <alignment horizontal="right"/>
    </xf>
    <xf xfId="0" numFmtId="3" applyNumberFormat="1" borderId="8" applyBorder="1" fontId="2" applyFont="1" fillId="22" applyFill="1" applyAlignment="1">
      <alignment horizontal="left"/>
    </xf>
    <xf xfId="0" numFmtId="170" applyNumberFormat="1" borderId="37" applyBorder="1" fontId="4" applyFont="1" fillId="22" applyFill="1" applyAlignment="1">
      <alignment horizontal="right"/>
    </xf>
    <xf xfId="0" numFmtId="3" applyNumberFormat="1" borderId="32" applyBorder="1" fontId="4" applyFont="1" fillId="22" applyFill="1" applyAlignment="1">
      <alignment horizontal="right"/>
    </xf>
    <xf xfId="0" numFmtId="3" applyNumberFormat="1" borderId="8" applyBorder="1" fontId="4" applyFont="1" fillId="22" applyFill="1" applyAlignment="1">
      <alignment horizontal="right"/>
    </xf>
    <xf xfId="0" numFmtId="3" applyNumberFormat="1" borderId="37" applyBorder="1" fontId="4" applyFont="1" fillId="22" applyFill="1" applyAlignment="1">
      <alignment horizontal="right"/>
    </xf>
    <xf xfId="0" numFmtId="3" applyNumberFormat="1" borderId="40" applyBorder="1" fontId="4" applyFont="1" fillId="0" applyAlignment="1">
      <alignment horizontal="right"/>
    </xf>
    <xf xfId="0" numFmtId="3" applyNumberFormat="1" borderId="4" applyBorder="1" fontId="4" applyFont="1" fillId="22" applyFill="1" applyAlignment="1">
      <alignment horizontal="left"/>
    </xf>
    <xf xfId="0" numFmtId="170" applyNumberFormat="1" borderId="4" applyBorder="1" fontId="4" applyFont="1" fillId="22" applyFill="1" applyAlignment="1">
      <alignment horizontal="right"/>
    </xf>
    <xf xfId="0" numFmtId="3" applyNumberFormat="1" borderId="35" applyBorder="1" fontId="2" applyFont="1" fillId="22" applyFill="1" applyAlignment="1">
      <alignment horizontal="right"/>
    </xf>
    <xf xfId="0" numFmtId="170" applyNumberFormat="1" borderId="8" applyBorder="1" fontId="4" applyFont="1" fillId="22" applyFill="1" applyAlignment="1">
      <alignment horizontal="right"/>
    </xf>
    <xf xfId="0" numFmtId="3" applyNumberFormat="1" borderId="32" applyBorder="1" fontId="2" applyFont="1" fillId="22" applyFill="1" applyAlignment="1">
      <alignment horizontal="right"/>
    </xf>
    <xf xfId="0" numFmtId="3" applyNumberFormat="1" borderId="8" applyBorder="1" fontId="2" applyFont="1" fillId="22" applyFill="1" applyAlignment="1">
      <alignment horizontal="right"/>
    </xf>
    <xf xfId="0" numFmtId="170" applyNumberFormat="1" borderId="38" applyBorder="1" fontId="2" applyFont="1" fillId="22" applyFill="1" applyAlignment="1">
      <alignment horizontal="left"/>
    </xf>
    <xf xfId="0" numFmtId="3" applyNumberFormat="1" borderId="14" applyBorder="1" fontId="2" applyFont="1" fillId="22" applyFill="1" applyAlignment="1">
      <alignment horizontal="right"/>
    </xf>
    <xf xfId="0" numFmtId="170" applyNumberFormat="1" borderId="10" applyBorder="1" fontId="4" applyFont="1" fillId="0" applyAlignment="1">
      <alignment horizontal="right"/>
    </xf>
    <xf xfId="0" numFmtId="3" applyNumberFormat="1" borderId="41" applyBorder="1" fontId="2" applyFont="1" fillId="0" applyAlignment="1">
      <alignment horizontal="right"/>
    </xf>
    <xf xfId="0" numFmtId="168" applyNumberFormat="1" borderId="5" applyBorder="1" fontId="2" applyFont="1" fillId="0" applyAlignment="1">
      <alignment horizontal="center"/>
    </xf>
    <xf xfId="0" numFmtId="3" applyNumberFormat="1" borderId="42" applyBorder="1" fontId="2" applyFont="1" fillId="5" applyFill="1" applyAlignment="1">
      <alignment horizontal="right"/>
    </xf>
    <xf xfId="0" numFmtId="170" applyNumberFormat="1" borderId="43" applyBorder="1" fontId="4" applyFont="1" fillId="23" applyFill="1" applyAlignment="1">
      <alignment horizontal="right"/>
    </xf>
    <xf xfId="0" numFmtId="3" applyNumberFormat="1" borderId="44" applyBorder="1" fontId="2" applyFont="1" fillId="5" applyFill="1" applyAlignment="1">
      <alignment horizontal="right"/>
    </xf>
    <xf xfId="0" numFmtId="3" applyNumberFormat="1" borderId="43" applyBorder="1" fontId="2" applyFont="1" fillId="5" applyFill="1" applyAlignment="1">
      <alignment horizontal="right"/>
    </xf>
    <xf xfId="0" numFmtId="3" applyNumberFormat="1" borderId="4" applyBorder="1" fontId="2" applyFont="1" fillId="24" applyFill="1" applyAlignment="1">
      <alignment horizontal="left"/>
    </xf>
    <xf xfId="0" numFmtId="168" applyNumberFormat="1" borderId="4" applyBorder="1" fontId="2" applyFont="1" fillId="24" applyFill="1" applyAlignment="1">
      <alignment horizontal="right"/>
    </xf>
    <xf xfId="0" numFmtId="3" applyNumberFormat="1" borderId="35" applyBorder="1" fontId="2" applyFont="1" fillId="24" applyFill="1" applyAlignment="1">
      <alignment horizontal="right"/>
    </xf>
    <xf xfId="0" numFmtId="3" applyNumberFormat="1" borderId="17" applyBorder="1" fontId="2" applyFont="1" fillId="24" applyFill="1" applyAlignment="1">
      <alignment horizontal="right"/>
    </xf>
    <xf xfId="0" numFmtId="3" applyNumberFormat="1" borderId="14" applyBorder="1" fontId="2" applyFont="1" fillId="24" applyFill="1" applyAlignment="1">
      <alignment horizontal="right"/>
    </xf>
    <xf xfId="0" numFmtId="3" applyNumberFormat="1" borderId="4" applyBorder="1" fontId="2" applyFont="1" fillId="24" applyFill="1" applyAlignment="1">
      <alignment horizontal="right"/>
    </xf>
    <xf xfId="0" numFmtId="3" applyNumberFormat="1" borderId="45" applyBorder="1" fontId="2" applyFont="1" fillId="24" applyFill="1" applyAlignment="1">
      <alignment horizontal="right"/>
    </xf>
    <xf xfId="0" numFmtId="3" applyNumberFormat="1" borderId="12" applyBorder="1" fontId="14" applyFont="1" fillId="0" applyAlignment="1">
      <alignment horizontal="right"/>
    </xf>
    <xf xfId="0" numFmtId="3" applyNumberFormat="1" borderId="8" applyBorder="1" fontId="2" applyFont="1" fillId="24" applyFill="1" applyAlignment="1">
      <alignment horizontal="left"/>
    </xf>
    <xf xfId="0" numFmtId="168" applyNumberFormat="1" borderId="8" applyBorder="1" fontId="2" applyFont="1" fillId="24" applyFill="1" applyAlignment="1">
      <alignment horizontal="right"/>
    </xf>
    <xf xfId="0" numFmtId="3" applyNumberFormat="1" borderId="32" applyBorder="1" fontId="2" applyFont="1" fillId="24" applyFill="1" applyAlignment="1">
      <alignment horizontal="right"/>
    </xf>
    <xf xfId="0" numFmtId="3" applyNumberFormat="1" borderId="4" applyBorder="1" fontId="4" applyFont="1" fillId="24" applyFill="1" applyAlignment="1">
      <alignment horizontal="left"/>
    </xf>
    <xf xfId="0" numFmtId="3" applyNumberFormat="1" borderId="11" applyBorder="1" fontId="2" applyFont="1" fillId="0" applyAlignment="1">
      <alignment horizontal="left"/>
    </xf>
    <xf xfId="0" numFmtId="170" applyNumberFormat="1" borderId="17" applyBorder="1" fontId="2" applyFont="1" fillId="12" applyFill="1" applyAlignment="1">
      <alignment horizontal="left"/>
    </xf>
    <xf xfId="0" numFmtId="3" applyNumberFormat="1" borderId="13" applyBorder="1" fontId="2" applyFont="1" fillId="0" applyAlignment="1">
      <alignment horizontal="left"/>
    </xf>
    <xf xfId="0" numFmtId="170" applyNumberFormat="1" borderId="8" applyBorder="1" fontId="2" applyFont="1" fillId="12" applyFill="1" applyAlignment="1">
      <alignment horizontal="left"/>
    </xf>
    <xf xfId="0" numFmtId="3" applyNumberFormat="1" borderId="12" applyBorder="1" fontId="17" applyFont="1" fillId="0" applyAlignment="1">
      <alignment horizontal="right"/>
    </xf>
    <xf xfId="0" numFmtId="3" applyNumberFormat="1" borderId="9" applyBorder="1" fontId="17" applyFont="1" fillId="0" applyAlignment="1">
      <alignment horizontal="right"/>
    </xf>
    <xf xfId="0" numFmtId="3" applyNumberFormat="1" borderId="10" applyBorder="1" fontId="17" applyFont="1" fillId="0" applyAlignment="1">
      <alignment horizontal="right"/>
    </xf>
    <xf xfId="0" numFmtId="3" applyNumberFormat="1" borderId="12" applyBorder="1" fontId="2" applyFont="1" fillId="0" applyAlignment="1">
      <alignment horizontal="left"/>
    </xf>
    <xf xfId="0" numFmtId="170" applyNumberFormat="1" borderId="4" applyBorder="1" fontId="2" applyFont="1" fillId="12" applyFill="1" applyAlignment="1">
      <alignment horizontal="left"/>
    </xf>
    <xf xfId="0" numFmtId="3" applyNumberFormat="1" borderId="16" applyBorder="1" fontId="2" applyFont="1" fillId="0" applyAlignment="1">
      <alignment horizontal="right"/>
    </xf>
    <xf xfId="0" numFmtId="3" applyNumberFormat="1" borderId="5" applyBorder="1" fontId="18" applyFont="1" fillId="0" applyAlignment="1">
      <alignment horizontal="right"/>
    </xf>
    <xf xfId="0" numFmtId="3" applyNumberFormat="1" borderId="4" applyBorder="1" fontId="2" applyFont="1" fillId="16" applyFill="1" applyAlignment="1">
      <alignment horizontal="right"/>
    </xf>
    <xf xfId="0" numFmtId="3" applyNumberFormat="1" borderId="12" applyBorder="1" fontId="4" applyFont="1" fillId="0" applyAlignment="1">
      <alignment horizontal="left"/>
    </xf>
    <xf xfId="0" numFmtId="170" applyNumberFormat="1" borderId="4" applyBorder="1" fontId="4" applyFont="1" fillId="12" applyFill="1" applyAlignment="1">
      <alignment horizontal="left"/>
    </xf>
    <xf xfId="0" numFmtId="3" applyNumberFormat="1" borderId="4" applyBorder="1" fontId="4" applyFont="1" fillId="16" applyFill="1" applyAlignment="1">
      <alignment horizontal="right"/>
    </xf>
    <xf xfId="0" numFmtId="3" applyNumberFormat="1" borderId="5" applyBorder="1" fontId="17" applyFont="1" fillId="0" applyAlignment="1">
      <alignment horizontal="right"/>
    </xf>
    <xf xfId="0" numFmtId="170" applyNumberFormat="1" borderId="0" fontId="0" fillId="0" applyAlignment="1">
      <alignment horizontal="general"/>
    </xf>
    <xf xfId="0" numFmtId="3" applyNumberFormat="1" borderId="5" applyBorder="1" fontId="18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4" applyBorder="1" fontId="2" applyFont="1" fillId="25" applyFill="1" applyAlignment="1">
      <alignment horizontal="right"/>
    </xf>
    <xf xfId="0" numFmtId="3" applyNumberFormat="1" borderId="14" applyBorder="1" fontId="2" applyFont="1" fillId="25" applyFill="1" applyAlignment="1">
      <alignment horizontal="right"/>
    </xf>
    <xf xfId="0" numFmtId="170" applyNumberFormat="1" borderId="5" applyBorder="1" fontId="4" applyFont="1" fillId="0" applyAlignment="1">
      <alignment horizontal="left"/>
    </xf>
    <xf xfId="0" numFmtId="3" applyNumberFormat="1" borderId="16" applyBorder="1" fontId="4" applyFont="1" fillId="0" applyAlignment="1">
      <alignment horizontal="right"/>
    </xf>
    <xf xfId="0" numFmtId="3" applyNumberFormat="1" borderId="46" applyBorder="1" fontId="4" applyFont="1" fillId="0" applyAlignment="1">
      <alignment horizontal="right"/>
    </xf>
    <xf xfId="0" numFmtId="3" applyNumberFormat="1" borderId="4" applyBorder="1" fontId="2" applyFont="1" fillId="26" applyFill="1" applyAlignment="1">
      <alignment horizontal="left"/>
    </xf>
    <xf xfId="0" numFmtId="170" applyNumberFormat="1" borderId="4" applyBorder="1" fontId="2" applyFont="1" fillId="26" applyFill="1" applyAlignment="1">
      <alignment horizontal="left"/>
    </xf>
    <xf xfId="0" numFmtId="3" applyNumberFormat="1" borderId="4" applyBorder="1" fontId="2" applyFont="1" fillId="26" applyFill="1" applyAlignment="1">
      <alignment horizontal="right"/>
    </xf>
    <xf xfId="0" numFmtId="3" applyNumberFormat="1" borderId="14" applyBorder="1" fontId="2" applyFont="1" fillId="26" applyFill="1" applyAlignment="1">
      <alignment horizontal="right"/>
    </xf>
    <xf xfId="0" numFmtId="3" applyNumberFormat="1" borderId="4" applyBorder="1" fontId="19" applyFont="1" fillId="26" applyFill="1" applyAlignment="1">
      <alignment horizontal="left"/>
    </xf>
    <xf xfId="0" numFmtId="170" applyNumberFormat="1" borderId="4" applyBorder="1" fontId="19" applyFont="1" fillId="26" applyFill="1" applyAlignment="1">
      <alignment horizontal="left"/>
    </xf>
    <xf xfId="0" numFmtId="3" applyNumberFormat="1" borderId="8" applyBorder="1" fontId="19" applyFont="1" fillId="26" applyFill="1" applyAlignment="1">
      <alignment horizontal="left"/>
    </xf>
    <xf xfId="0" numFmtId="170" applyNumberFormat="1" borderId="8" applyBorder="1" fontId="2" applyFont="1" fillId="26" applyFill="1" applyAlignment="1">
      <alignment horizontal="left"/>
    </xf>
    <xf xfId="0" numFmtId="3" applyNumberFormat="1" borderId="4" applyBorder="1" fontId="4" applyFont="1" fillId="26" applyFill="1" applyAlignment="1">
      <alignment horizontal="left"/>
    </xf>
    <xf xfId="0" numFmtId="3" applyNumberFormat="1" borderId="4" applyBorder="1" fontId="4" applyFont="1" fillId="26" applyFill="1" applyAlignment="1">
      <alignment horizontal="right"/>
    </xf>
    <xf xfId="0" numFmtId="170" applyNumberFormat="1" borderId="8" applyBorder="1" fontId="4" applyFont="1" fillId="26" applyFill="1" applyAlignment="1">
      <alignment horizontal="left"/>
    </xf>
    <xf xfId="0" numFmtId="3" applyNumberFormat="1" borderId="8" applyBorder="1" fontId="19" applyFont="1" fillId="26" applyFill="1" applyAlignment="1">
      <alignment horizontal="right"/>
    </xf>
    <xf xfId="0" numFmtId="3" applyNumberFormat="1" borderId="4" applyBorder="1" fontId="2" applyFont="1" fillId="5" applyFill="1" applyAlignment="1">
      <alignment horizontal="right"/>
    </xf>
    <xf xfId="0" numFmtId="3" applyNumberFormat="1" borderId="37" applyBorder="1" fontId="19" applyFont="1" fillId="26" applyFill="1" applyAlignment="1">
      <alignment horizontal="right"/>
    </xf>
    <xf xfId="0" numFmtId="3" applyNumberFormat="1" borderId="47" applyBorder="1" fontId="4" applyFont="1" fillId="26" applyFill="1" applyAlignment="1">
      <alignment horizontal="left"/>
    </xf>
    <xf xfId="0" numFmtId="170" applyNumberFormat="1" borderId="4" applyBorder="1" fontId="4" applyFont="1" fillId="26" applyFill="1" applyAlignment="1">
      <alignment horizontal="left"/>
    </xf>
    <xf xfId="0" numFmtId="3" applyNumberFormat="1" borderId="14" applyBorder="1" fontId="4" applyFont="1" fillId="26" applyFill="1" applyAlignment="1">
      <alignment horizontal="right"/>
    </xf>
    <xf xfId="0" numFmtId="3" applyNumberFormat="1" borderId="48" applyBorder="1" fontId="19" applyFont="1" fillId="26" applyFill="1" applyAlignment="1">
      <alignment horizontal="left"/>
    </xf>
    <xf xfId="0" numFmtId="170" applyNumberFormat="1" borderId="48" applyBorder="1" fontId="2" applyFont="1" fillId="26" applyFill="1" applyAlignment="1">
      <alignment horizontal="left"/>
    </xf>
    <xf xfId="0" numFmtId="3" applyNumberFormat="1" borderId="48" applyBorder="1" fontId="19" applyFont="1" fillId="26" applyFill="1" applyAlignment="1">
      <alignment horizontal="right"/>
    </xf>
    <xf xfId="0" numFmtId="3" applyNumberFormat="1" borderId="4" applyBorder="1" fontId="2" applyFont="1" fillId="27" applyFill="1" applyAlignment="1">
      <alignment horizontal="left"/>
    </xf>
    <xf xfId="0" numFmtId="170" applyNumberFormat="1" borderId="4" applyBorder="1" fontId="14" applyFont="1" fillId="27" applyFill="1" applyAlignment="1">
      <alignment horizontal="left"/>
    </xf>
    <xf xfId="0" numFmtId="3" applyNumberFormat="1" borderId="4" applyBorder="1" fontId="2" applyFont="1" fillId="27" applyFill="1" applyAlignment="1">
      <alignment horizontal="right"/>
    </xf>
    <xf xfId="0" numFmtId="3" applyNumberFormat="1" borderId="14" applyBorder="1" fontId="2" applyFont="1" fillId="27" applyFill="1" applyAlignment="1">
      <alignment horizontal="right"/>
    </xf>
    <xf xfId="0" numFmtId="170" applyNumberFormat="1" borderId="4" applyBorder="1" fontId="2" applyFont="1" fillId="27" applyFill="1" applyAlignment="1">
      <alignment horizontal="left"/>
    </xf>
    <xf xfId="0" numFmtId="3" applyNumberFormat="1" borderId="4" applyBorder="1" fontId="19" applyFont="1" fillId="27" applyFill="1" applyAlignment="1">
      <alignment horizontal="left"/>
    </xf>
    <xf xfId="0" numFmtId="3" applyNumberFormat="1" borderId="4" applyBorder="1" fontId="19" applyFont="1" fillId="27" applyFill="1" applyAlignment="1">
      <alignment horizontal="right"/>
    </xf>
    <xf xfId="0" numFmtId="3" applyNumberFormat="1" borderId="14" applyBorder="1" fontId="19" applyFont="1" fillId="27" applyFill="1" applyAlignment="1">
      <alignment horizontal="right"/>
    </xf>
    <xf xfId="0" numFmtId="3" applyNumberFormat="1" borderId="8" applyBorder="1" fontId="19" applyFont="1" fillId="27" applyFill="1" applyAlignment="1">
      <alignment horizontal="left"/>
    </xf>
    <xf xfId="0" numFmtId="170" applyNumberFormat="1" borderId="8" applyBorder="1" fontId="2" applyFont="1" fillId="27" applyFill="1" applyAlignment="1">
      <alignment horizontal="left"/>
    </xf>
    <xf xfId="0" numFmtId="3" applyNumberFormat="1" borderId="8" applyBorder="1" fontId="19" applyFont="1" fillId="27" applyFill="1" applyAlignment="1">
      <alignment horizontal="right"/>
    </xf>
    <xf xfId="0" numFmtId="3" applyNumberFormat="1" borderId="4" applyBorder="1" fontId="4" applyFont="1" fillId="27" applyFill="1" applyAlignment="1">
      <alignment horizontal="left"/>
    </xf>
    <xf xfId="0" numFmtId="170" applyNumberFormat="1" borderId="4" applyBorder="1" fontId="4" applyFont="1" fillId="27" applyFill="1" applyAlignment="1">
      <alignment horizontal="left"/>
    </xf>
    <xf xfId="0" numFmtId="3" applyNumberFormat="1" borderId="4" applyBorder="1" fontId="4" applyFont="1" fillId="27" applyFill="1" applyAlignment="1">
      <alignment horizontal="right"/>
    </xf>
    <xf xfId="0" numFmtId="170" applyNumberFormat="1" borderId="8" applyBorder="1" fontId="4" applyFont="1" fillId="27" applyFill="1" applyAlignment="1">
      <alignment horizontal="left"/>
    </xf>
    <xf xfId="0" numFmtId="168" applyNumberFormat="1" borderId="4" applyBorder="1" fontId="2" applyFont="1" fillId="27" applyFill="1" applyAlignment="1">
      <alignment horizontal="right"/>
    </xf>
    <xf xfId="0" numFmtId="3" applyNumberFormat="1" borderId="4" applyBorder="1" fontId="2" applyFont="1" fillId="5" applyFill="1" applyAlignment="1">
      <alignment horizontal="left"/>
    </xf>
    <xf xfId="0" numFmtId="170" applyNumberFormat="1" borderId="4" applyBorder="1" fontId="2" applyFont="1" fillId="5" applyFill="1" applyAlignment="1">
      <alignment horizontal="left"/>
    </xf>
    <xf xfId="0" numFmtId="3" applyNumberFormat="1" borderId="14" applyBorder="1" fontId="4" applyFont="1" fillId="5" applyFill="1" applyAlignment="1">
      <alignment horizontal="right"/>
    </xf>
    <xf xfId="0" numFmtId="3" applyNumberFormat="1" borderId="14" applyBorder="1" fontId="4" applyFont="1" fillId="27" applyFill="1" applyAlignment="1">
      <alignment horizontal="right"/>
    </xf>
    <xf xfId="0" numFmtId="3" applyNumberFormat="1" borderId="4" applyBorder="1" fontId="9" applyFont="1" fillId="27" applyFill="1" applyAlignment="1">
      <alignment horizontal="left"/>
    </xf>
    <xf xfId="0" numFmtId="170" applyNumberFormat="1" borderId="4" applyBorder="1" fontId="9" applyFont="1" fillId="27" applyFill="1" applyAlignment="1">
      <alignment horizontal="left"/>
    </xf>
    <xf xfId="0" numFmtId="3" applyNumberFormat="1" borderId="4" applyBorder="1" fontId="9" applyFont="1" fillId="27" applyFill="1" applyAlignment="1">
      <alignment horizontal="right"/>
    </xf>
    <xf xfId="0" numFmtId="3" applyNumberFormat="1" borderId="14" applyBorder="1" fontId="9" applyFont="1" fillId="27" applyFill="1" applyAlignment="1">
      <alignment horizontal="right"/>
    </xf>
    <xf xfId="0" numFmtId="168" applyNumberFormat="1" borderId="4" applyBorder="1" fontId="9" applyFont="1" fillId="27" applyFill="1" applyAlignment="1">
      <alignment horizontal="right"/>
    </xf>
    <xf xfId="0" numFmtId="3" applyNumberFormat="1" borderId="4" applyBorder="1" fontId="4" applyFont="1" fillId="5" applyFill="1" applyAlignment="1">
      <alignment horizontal="left"/>
    </xf>
    <xf xfId="0" numFmtId="170" applyNumberFormat="1" borderId="4" applyBorder="1" fontId="4" applyFont="1" fillId="5" applyFill="1" applyAlignment="1">
      <alignment horizontal="left"/>
    </xf>
    <xf xfId="0" numFmtId="168" applyNumberFormat="1" borderId="5" applyBorder="1" fontId="4" applyFont="1" fillId="0" applyAlignment="1">
      <alignment horizontal="right"/>
    </xf>
    <xf xfId="0" numFmtId="3" applyNumberFormat="1" borderId="4" applyBorder="1" fontId="2" applyFont="1" fillId="28" applyFill="1" applyAlignment="1">
      <alignment horizontal="left"/>
    </xf>
    <xf xfId="0" numFmtId="170" applyNumberFormat="1" borderId="4" applyBorder="1" fontId="2" applyFont="1" fillId="28" applyFill="1" applyAlignment="1">
      <alignment horizontal="left"/>
    </xf>
    <xf xfId="0" numFmtId="3" applyNumberFormat="1" borderId="4" applyBorder="1" fontId="2" applyFont="1" fillId="28" applyFill="1" applyAlignment="1">
      <alignment horizontal="right"/>
    </xf>
    <xf xfId="0" numFmtId="3" applyNumberFormat="1" borderId="14" applyBorder="1" fontId="2" applyFont="1" fillId="28" applyFill="1" applyAlignment="1">
      <alignment horizontal="right"/>
    </xf>
    <xf xfId="0" numFmtId="3" applyNumberFormat="1" borderId="4" applyBorder="1" fontId="4" applyFont="1" fillId="28" applyFill="1" applyAlignment="1">
      <alignment horizontal="left"/>
    </xf>
    <xf xfId="0" numFmtId="170" applyNumberFormat="1" borderId="4" applyBorder="1" fontId="4" applyFont="1" fillId="28" applyFill="1" applyAlignment="1">
      <alignment horizontal="left"/>
    </xf>
    <xf xfId="0" numFmtId="3" applyNumberFormat="1" borderId="4" applyBorder="1" fontId="4" applyFont="1" fillId="28" applyFill="1" applyAlignment="1">
      <alignment horizontal="right"/>
    </xf>
    <xf xfId="0" numFmtId="3" applyNumberFormat="1" borderId="14" applyBorder="1" fontId="4" applyFont="1" fillId="28" applyFill="1" applyAlignment="1">
      <alignment horizontal="right"/>
    </xf>
    <xf xfId="0" numFmtId="3" applyNumberFormat="1" borderId="4" applyBorder="1" fontId="19" applyFont="1" fillId="28" applyFill="1" applyAlignment="1">
      <alignment horizontal="left"/>
    </xf>
    <xf xfId="0" numFmtId="3" applyNumberFormat="1" borderId="4" applyBorder="1" fontId="19" applyFont="1" fillId="28" applyFill="1" applyAlignment="1">
      <alignment horizontal="right"/>
    </xf>
    <xf xfId="0" numFmtId="3" applyNumberFormat="1" borderId="14" applyBorder="1" fontId="19" applyFont="1" fillId="28" applyFill="1" applyAlignment="1">
      <alignment horizontal="right"/>
    </xf>
    <xf xfId="0" numFmtId="3" applyNumberFormat="1" borderId="16" applyBorder="1" fontId="2" applyFont="1" fillId="0" applyAlignment="1">
      <alignment horizontal="left"/>
    </xf>
    <xf xfId="0" numFmtId="170" applyNumberFormat="1" borderId="0" fontId="0" fillId="0" applyAlignment="1">
      <alignment horizontal="general"/>
    </xf>
    <xf xfId="0" numFmtId="0" borderId="9" applyBorder="1" fontId="4" applyFont="1" fillId="0" applyAlignment="1">
      <alignment horizontal="center"/>
    </xf>
    <xf xfId="0" numFmtId="166" applyNumberFormat="1" borderId="0" fontId="0" fillId="0" applyAlignment="1">
      <alignment horizontal="center"/>
    </xf>
    <xf xfId="0" numFmtId="3" applyNumberFormat="1" borderId="4" applyBorder="1" fontId="4" applyFont="1" fillId="18" applyFill="1" applyAlignment="1">
      <alignment horizontal="center"/>
    </xf>
    <xf xfId="0" numFmtId="0" borderId="12" applyBorder="1" fontId="4" applyFont="1" fillId="0" applyAlignment="1">
      <alignment horizontal="center"/>
    </xf>
    <xf xfId="0" numFmtId="166" applyNumberFormat="1" borderId="4" applyBorder="1" fontId="2" applyFont="1" fillId="11" applyFill="1" applyAlignment="1">
      <alignment horizontal="right"/>
    </xf>
    <xf xfId="0" numFmtId="3" applyNumberFormat="1" borderId="4" applyBorder="1" fontId="14" applyFont="1" fillId="11" applyFill="1" applyAlignment="1">
      <alignment horizontal="right"/>
    </xf>
    <xf xfId="0" numFmtId="166" applyNumberFormat="1" borderId="8" applyBorder="1" fontId="2" applyFont="1" fillId="11" applyFill="1" applyAlignment="1">
      <alignment horizontal="right"/>
    </xf>
    <xf xfId="0" numFmtId="3" applyNumberFormat="1" borderId="8" applyBorder="1" fontId="14" applyFont="1" fillId="11" applyFill="1" applyAlignment="1">
      <alignment horizontal="right"/>
    </xf>
    <xf xfId="0" numFmtId="3" applyNumberFormat="1" borderId="35" applyBorder="1" fontId="4" applyFont="1" fillId="11" applyFill="1" applyAlignment="1">
      <alignment horizontal="right"/>
    </xf>
    <xf xfId="0" numFmtId="3" applyNumberFormat="1" borderId="32" applyBorder="1" fontId="4" applyFont="1" fillId="11" applyFill="1" applyAlignment="1">
      <alignment horizontal="right"/>
    </xf>
    <xf xfId="0" numFmtId="166" applyNumberFormat="1" borderId="15" applyBorder="1" fontId="2" applyFont="1" fillId="0" applyAlignment="1">
      <alignment horizontal="right"/>
    </xf>
    <xf xfId="0" numFmtId="166" applyNumberFormat="1" borderId="15" applyBorder="1" fontId="2" applyFont="1" fillId="0" applyAlignment="1">
      <alignment horizontal="left"/>
    </xf>
    <xf xfId="0" numFmtId="3" applyNumberFormat="1" borderId="15" applyBorder="1" fontId="2" applyFont="1" fillId="0" applyAlignment="1">
      <alignment horizontal="right"/>
    </xf>
    <xf xfId="0" numFmtId="0" borderId="4" applyBorder="1" fontId="4" applyFont="1" fillId="29" applyFill="1" applyAlignment="1">
      <alignment horizontal="center"/>
    </xf>
    <xf xfId="0" numFmtId="166" applyNumberFormat="1" borderId="5" applyBorder="1" fontId="4" applyFont="1" fillId="0" applyAlignment="1">
      <alignment horizontal="left"/>
    </xf>
    <xf xfId="0" numFmtId="0" borderId="4" applyBorder="1" fontId="2" applyFont="1" fillId="29" applyFill="1" applyAlignment="1">
      <alignment horizontal="center"/>
    </xf>
    <xf xfId="0" numFmtId="0" borderId="8" applyBorder="1" fontId="2" applyFont="1" fillId="29" applyFill="1" applyAlignment="1">
      <alignment horizontal="left"/>
    </xf>
    <xf xfId="0" numFmtId="3" applyNumberFormat="1" borderId="9" applyBorder="1" fontId="9" applyFont="1" fillId="0" applyAlignment="1">
      <alignment horizontal="right"/>
    </xf>
    <xf xfId="0" numFmtId="166" applyNumberFormat="1" borderId="9" applyBorder="1" fontId="9" applyFont="1" fillId="0" applyAlignment="1">
      <alignment horizontal="right"/>
    </xf>
    <xf xfId="0" numFmtId="0" borderId="4" applyBorder="1" fontId="4" applyFont="1" fillId="19" applyFill="1" applyAlignment="1">
      <alignment horizontal="center"/>
    </xf>
    <xf xfId="0" numFmtId="167" applyNumberFormat="1" borderId="5" applyBorder="1" fontId="14" applyFont="1" fillId="0" applyAlignment="1">
      <alignment horizontal="right"/>
    </xf>
    <xf xfId="0" numFmtId="0" borderId="4" applyBorder="1" fontId="2" applyFont="1" fillId="19" applyFill="1" applyAlignment="1">
      <alignment horizontal="center"/>
    </xf>
    <xf xfId="0" numFmtId="3" applyNumberFormat="1" borderId="5" applyBorder="1" fontId="14" applyFont="1" fillId="0" applyAlignment="1">
      <alignment horizontal="right"/>
    </xf>
    <xf xfId="0" numFmtId="0" borderId="8" applyBorder="1" fontId="2" applyFont="1" fillId="19" applyFill="1" applyAlignment="1">
      <alignment horizontal="left"/>
    </xf>
    <xf xfId="0" numFmtId="166" applyNumberFormat="1" borderId="5" applyBorder="1" fontId="4" applyFont="1" fillId="0" applyAlignment="1">
      <alignment horizontal="right"/>
    </xf>
    <xf xfId="0" numFmtId="170" applyNumberFormat="1" borderId="5" applyBorder="1" fontId="2" applyFont="1" fillId="0" applyAlignment="1">
      <alignment horizontal="right"/>
    </xf>
    <xf xfId="0" numFmtId="0" borderId="49" applyBorder="1" fontId="20" applyFont="1" fillId="0" applyAlignment="1">
      <alignment horizontal="left"/>
    </xf>
    <xf xfId="0" numFmtId="166" applyNumberFormat="1" borderId="50" applyBorder="1" fontId="4" applyFont="1" fillId="0" applyAlignment="1">
      <alignment horizontal="center"/>
    </xf>
    <xf xfId="0" numFmtId="3" applyNumberFormat="1" borderId="50" applyBorder="1" fontId="2" applyFont="1" fillId="0" applyAlignment="1">
      <alignment horizontal="right"/>
    </xf>
    <xf xfId="0" numFmtId="3" applyNumberFormat="1" borderId="51" applyBorder="1" fontId="2" applyFont="1" fillId="0" applyAlignment="1">
      <alignment horizontal="right"/>
    </xf>
    <xf xfId="0" numFmtId="3" applyNumberFormat="1" borderId="52" applyBorder="1" fontId="2" applyFont="1" fillId="0" applyAlignment="1">
      <alignment horizontal="right"/>
    </xf>
    <xf xfId="0" numFmtId="166" applyNumberFormat="1" borderId="53" applyBorder="1" fontId="2" applyFont="1" fillId="0" applyAlignment="1">
      <alignment horizontal="left"/>
    </xf>
    <xf xfId="0" numFmtId="3" applyNumberFormat="1" borderId="52" applyBorder="1" fontId="2" applyFont="1" fillId="0" applyAlignment="1">
      <alignment horizontal="left"/>
    </xf>
    <xf xfId="0" numFmtId="3" applyNumberFormat="1" borderId="54" applyBorder="1" fontId="2" applyFont="1" fillId="0" applyAlignment="1">
      <alignment horizontal="right"/>
    </xf>
    <xf xfId="0" numFmtId="3" applyNumberFormat="1" borderId="55" applyBorder="1" fontId="2" applyFont="1" fillId="0" applyAlignment="1">
      <alignment horizontal="right"/>
    </xf>
    <xf xfId="0" numFmtId="166" applyNumberFormat="1" borderId="0" fontId="0" fillId="0" applyAlignment="1">
      <alignment horizontal="center"/>
    </xf>
    <xf xfId="0" numFmtId="3" applyNumberFormat="1" borderId="5" applyBorder="1" fontId="4" applyFont="1" fillId="0" applyAlignment="1">
      <alignment horizontal="center"/>
    </xf>
    <xf xfId="0" numFmtId="1" applyNumberFormat="1" borderId="5" applyBorder="1" fontId="4" applyFont="1" fillId="0" applyAlignment="1">
      <alignment horizontal="center"/>
    </xf>
    <xf xfId="0" numFmtId="171" applyNumberFormat="1" borderId="5" applyBorder="1" fontId="2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171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center"/>
    </xf>
    <xf xfId="0" numFmtId="14" applyNumberFormat="1" borderId="5" applyBorder="1" fontId="4" applyFont="1" fillId="0" applyAlignment="1">
      <alignment horizontal="center"/>
    </xf>
    <xf xfId="0" numFmtId="3" applyNumberFormat="1" borderId="4" applyBorder="1" fontId="4" applyFont="1" fillId="30" applyFill="1" applyAlignment="1">
      <alignment horizontal="center"/>
    </xf>
    <xf xfId="0" numFmtId="3" applyNumberFormat="1" borderId="4" applyBorder="1" fontId="1" applyFont="1" fillId="31" applyFill="1" applyAlignment="1">
      <alignment horizontal="center"/>
    </xf>
    <xf xfId="0" numFmtId="3" applyNumberFormat="1" borderId="4" applyBorder="1" fontId="4" applyFont="1" fillId="12" applyFill="1" applyAlignment="1">
      <alignment horizontal="center"/>
    </xf>
    <xf xfId="0" numFmtId="1" applyNumberFormat="1" borderId="4" applyBorder="1" fontId="1" applyFont="1" fillId="31" applyFill="1" applyAlignment="1">
      <alignment horizontal="center"/>
    </xf>
    <xf xfId="0" numFmtId="1" applyNumberFormat="1" borderId="4" applyBorder="1" fontId="1" applyFont="1" fillId="32" applyFill="1" applyAlignment="1">
      <alignment horizontal="center"/>
    </xf>
    <xf xfId="0" numFmtId="171" applyNumberFormat="1" borderId="4" applyBorder="1" fontId="1" applyFont="1" fillId="31" applyFill="1" applyAlignment="1">
      <alignment horizontal="center"/>
    </xf>
    <xf xfId="0" numFmtId="171" applyNumberFormat="1" borderId="4" applyBorder="1" fontId="4" applyFont="1" fillId="33" applyFill="1" applyAlignment="1">
      <alignment horizontal="center"/>
    </xf>
    <xf xfId="0" numFmtId="1" applyNumberFormat="1" borderId="4" applyBorder="1" fontId="4" applyFont="1" fillId="33" applyFill="1" applyAlignment="1">
      <alignment horizontal="center"/>
    </xf>
    <xf xfId="0" numFmtId="172" applyNumberFormat="1" borderId="4" applyBorder="1" fontId="4" applyFont="1" fillId="11" applyFill="1" applyAlignment="1">
      <alignment horizontal="center"/>
    </xf>
    <xf xfId="0" numFmtId="1" applyNumberFormat="1" borderId="4" applyBorder="1" fontId="4" applyFont="1" fillId="12" applyFill="1" applyAlignment="1">
      <alignment horizontal="center"/>
    </xf>
    <xf xfId="0" numFmtId="1" applyNumberFormat="1" borderId="4" applyBorder="1" fontId="4" applyFont="1" fillId="34" applyFill="1" applyAlignment="1">
      <alignment horizontal="center"/>
    </xf>
    <xf xfId="0" numFmtId="1" applyNumberFormat="1" borderId="4" applyBorder="1" fontId="4" applyFont="1" fillId="22" applyFill="1" applyAlignment="1">
      <alignment horizontal="center"/>
    </xf>
    <xf xfId="0" numFmtId="171" applyNumberFormat="1" borderId="4" applyBorder="1" fontId="4" applyFont="1" fillId="22" applyFill="1" applyAlignment="1">
      <alignment horizontal="center"/>
    </xf>
    <xf xfId="0" numFmtId="171" applyNumberFormat="1" borderId="4" applyBorder="1" fontId="4" applyFont="1" fillId="12" applyFill="1" applyAlignment="1">
      <alignment horizontal="center"/>
    </xf>
    <xf xfId="0" numFmtId="0" borderId="4" applyBorder="1" fontId="21" applyFont="1" fillId="11" applyFill="1" applyAlignment="1">
      <alignment horizontal="left"/>
    </xf>
    <xf xfId="0" numFmtId="173" applyNumberFormat="1" borderId="4" applyBorder="1" fontId="2" applyFont="1" fillId="11" applyFill="1" applyAlignment="1">
      <alignment horizontal="center"/>
    </xf>
    <xf xfId="0" numFmtId="173" applyNumberFormat="1" borderId="4" applyBorder="1" fontId="22" applyFont="1" fillId="11" applyFill="1" applyAlignment="1">
      <alignment horizontal="center"/>
    </xf>
    <xf xfId="0" numFmtId="172" applyNumberFormat="1" borderId="4" applyBorder="1" fontId="2" applyFont="1" fillId="11" applyFill="1" applyAlignment="1">
      <alignment horizontal="center"/>
    </xf>
    <xf xfId="0" numFmtId="1" applyNumberFormat="1" borderId="4" applyBorder="1" fontId="22" applyFont="1" fillId="11" applyFill="1" applyAlignment="1">
      <alignment horizontal="center"/>
    </xf>
    <xf xfId="0" numFmtId="1" applyNumberFormat="1" borderId="4" applyBorder="1" fontId="23" applyFont="1" fillId="11" applyFill="1" applyAlignment="1">
      <alignment horizontal="center"/>
    </xf>
    <xf xfId="0" numFmtId="1" applyNumberFormat="1" borderId="4" applyBorder="1" fontId="9" applyFont="1" fillId="11" applyFill="1" applyAlignment="1">
      <alignment horizontal="center"/>
    </xf>
    <xf xfId="0" numFmtId="171" applyNumberFormat="1" borderId="4" applyBorder="1" fontId="2" applyFont="1" fillId="11" applyFill="1" applyAlignment="1">
      <alignment horizontal="center"/>
    </xf>
    <xf xfId="0" numFmtId="171" applyNumberFormat="1" borderId="4" applyBorder="1" fontId="2" applyFont="1" fillId="11" applyFill="1" applyAlignment="1">
      <alignment horizontal="right"/>
    </xf>
    <xf xfId="0" numFmtId="0" borderId="4" applyBorder="1" fontId="4" applyFont="1" fillId="11" applyFill="1" applyAlignment="1">
      <alignment horizontal="center"/>
    </xf>
    <xf xfId="0" numFmtId="171" applyNumberFormat="1" borderId="4" applyBorder="1" fontId="4" applyFont="1" fillId="11" applyFill="1" applyAlignment="1">
      <alignment horizontal="center"/>
    </xf>
    <xf xfId="0" numFmtId="0" borderId="4" applyBorder="1" fontId="4" applyFont="1" fillId="14" applyFill="1" applyAlignment="1">
      <alignment horizontal="left"/>
    </xf>
    <xf xfId="0" numFmtId="171" applyNumberFormat="1" borderId="4" applyBorder="1" fontId="2" applyFont="1" fillId="14" applyFill="1" applyAlignment="1">
      <alignment horizontal="center"/>
    </xf>
    <xf xfId="0" numFmtId="171" applyNumberFormat="1" borderId="4" applyBorder="1" fontId="2" applyFont="1" fillId="14" applyFill="1" applyAlignment="1">
      <alignment horizontal="right"/>
    </xf>
    <xf xfId="0" numFmtId="171" applyNumberFormat="1" borderId="4" applyBorder="1" fontId="4" applyFont="1" fillId="11" applyFill="1" applyAlignment="1">
      <alignment horizontal="right"/>
    </xf>
    <xf xfId="0" numFmtId="173" applyNumberFormat="1" borderId="5" applyBorder="1" fontId="4" applyFont="1" fillId="0" applyAlignment="1">
      <alignment horizontal="center"/>
    </xf>
    <xf xfId="0" numFmtId="173" applyNumberFormat="1" borderId="5" applyBorder="1" fontId="2" applyFont="1" fillId="0" applyAlignment="1">
      <alignment horizontal="center"/>
    </xf>
    <xf xfId="0" numFmtId="171" applyNumberFormat="1" borderId="5" applyBorder="1" fontId="2" applyFont="1" fillId="0" applyAlignment="1">
      <alignment horizontal="right"/>
    </xf>
    <xf xfId="0" numFmtId="173" applyNumberFormat="1" borderId="4" applyBorder="1" fontId="4" applyFont="1" fillId="11" applyFill="1" applyAlignment="1">
      <alignment horizontal="center"/>
    </xf>
    <xf xfId="0" numFmtId="0" borderId="4" applyBorder="1" fontId="4" applyFont="1" fillId="11" applyFill="1" applyAlignment="1">
      <alignment horizontal="left"/>
    </xf>
    <xf xfId="0" numFmtId="173" applyNumberFormat="1" borderId="4" applyBorder="1" fontId="2" applyFont="1" fillId="14" applyFill="1" applyAlignment="1">
      <alignment horizontal="center"/>
    </xf>
    <xf xfId="0" numFmtId="169" applyNumberFormat="1" borderId="5" applyBorder="1" fontId="2" applyFont="1" fillId="0" applyAlignment="1">
      <alignment horizontal="center"/>
    </xf>
    <xf xfId="0" numFmtId="1" applyNumberFormat="1" borderId="4" applyBorder="1" fontId="4" applyFont="1" fillId="11" applyFill="1" applyAlignment="1">
      <alignment horizontal="center"/>
    </xf>
    <xf xfId="0" numFmtId="0" borderId="4" applyBorder="1" fontId="1" applyFont="1" fillId="31" applyFill="1" applyAlignment="1">
      <alignment horizontal="center"/>
    </xf>
    <xf xfId="0" numFmtId="0" borderId="0" fontId="0" fillId="0" applyAlignment="1">
      <alignment horizontal="left"/>
    </xf>
    <xf xfId="0" numFmtId="171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" applyNumberFormat="1" borderId="0" fontId="0" fillId="0" applyAlignment="1">
      <alignment horizontal="general"/>
    </xf>
    <xf xfId="0" numFmtId="171" applyNumberFormat="1" borderId="0" fontId="0" fillId="0" applyAlignment="1">
      <alignment horizontal="general"/>
    </xf>
    <xf xfId="0" numFmtId="172" applyNumberFormat="1" borderId="4" applyBorder="1" fontId="4" applyFont="1" fillId="33" applyFill="1" applyAlignment="1">
      <alignment horizontal="center"/>
    </xf>
    <xf xfId="0" numFmtId="173" applyNumberFormat="1" borderId="4" applyBorder="1" fontId="9" applyFont="1" fillId="11" applyFill="1" applyAlignment="1">
      <alignment horizontal="center"/>
    </xf>
    <xf xfId="0" numFmtId="171" applyNumberFormat="1" borderId="4" applyBorder="1" fontId="4" applyFont="1" fillId="14" applyFill="1" applyAlignment="1">
      <alignment horizontal="center"/>
    </xf>
    <xf xfId="0" numFmtId="171" applyNumberFormat="1" borderId="5" applyBorder="1" fontId="4" applyFont="1" fillId="0" applyAlignment="1">
      <alignment horizontal="center"/>
    </xf>
    <xf xfId="0" numFmtId="171" applyNumberFormat="1" borderId="0" fontId="0" fillId="0" applyAlignment="1">
      <alignment horizontal="general"/>
    </xf>
    <xf xfId="0" numFmtId="0" borderId="8" applyBorder="1" fontId="4" applyFont="1" fillId="11" applyFill="1" applyAlignment="1">
      <alignment horizontal="center"/>
    </xf>
    <xf xfId="0" numFmtId="170" applyNumberFormat="1" borderId="8" applyBorder="1" fontId="4" applyFont="1" fillId="11" applyFill="1" applyAlignment="1">
      <alignment horizontal="center"/>
    </xf>
    <xf xfId="0" numFmtId="3" applyNumberFormat="1" borderId="8" applyBorder="1" fontId="4" applyFont="1" fillId="11" applyFill="1" applyAlignment="1">
      <alignment horizontal="center"/>
    </xf>
    <xf xfId="0" numFmtId="3" applyNumberFormat="1" borderId="8" applyBorder="1" fontId="14" applyFont="1" fillId="11" applyFill="1" applyAlignment="1">
      <alignment horizontal="center"/>
    </xf>
    <xf xfId="0" numFmtId="170" applyNumberFormat="1" borderId="8" applyBorder="1" fontId="14" applyFont="1" fillId="35" applyFill="1" applyAlignment="1">
      <alignment horizontal="center"/>
    </xf>
    <xf xfId="0" numFmtId="3" applyNumberFormat="1" borderId="8" applyBorder="1" fontId="4" applyFont="1" fillId="35" applyFill="1" applyAlignment="1">
      <alignment horizontal="center"/>
    </xf>
    <xf xfId="0" numFmtId="3" applyNumberFormat="1" borderId="8" applyBorder="1" fontId="14" applyFont="1" fillId="35" applyFill="1" applyAlignment="1">
      <alignment horizontal="center"/>
    </xf>
    <xf xfId="0" numFmtId="170" applyNumberFormat="1" borderId="8" applyBorder="1" fontId="14" applyFont="1" fillId="11" applyFill="1" applyAlignment="1">
      <alignment horizontal="center"/>
    </xf>
    <xf xfId="0" numFmtId="0" borderId="9" applyBorder="1" fontId="2" applyFont="1" fillId="0" applyAlignment="1">
      <alignment horizontal="right"/>
    </xf>
    <xf xfId="0" numFmtId="166" applyNumberFormat="1" borderId="4" applyBorder="1" fontId="4" applyFont="1" fillId="36" applyFill="1" applyAlignment="1">
      <alignment horizontal="right"/>
    </xf>
    <xf xfId="0" numFmtId="0" borderId="4" applyBorder="1" fontId="4" applyFont="1" fillId="36" applyFill="1" applyAlignment="1">
      <alignment horizontal="right"/>
    </xf>
    <xf xfId="0" numFmtId="0" borderId="4" applyBorder="1" fontId="4" applyFont="1" fillId="36" applyFill="1" applyAlignment="1">
      <alignment horizontal="left"/>
    </xf>
    <xf xfId="0" numFmtId="0" borderId="8" applyBorder="1" fontId="4" applyFont="1" fillId="36" applyFill="1" applyAlignment="1">
      <alignment horizontal="left"/>
    </xf>
    <xf xfId="0" numFmtId="0" borderId="8" applyBorder="1" fontId="4" applyFont="1" fillId="36" applyFill="1" applyAlignment="1">
      <alignment horizontal="right"/>
    </xf>
    <xf xfId="0" numFmtId="166" applyNumberFormat="1" borderId="9" applyBorder="1" fontId="4" applyFont="1" fillId="0" applyAlignment="1">
      <alignment horizontal="right"/>
    </xf>
    <xf xfId="0" numFmtId="0" borderId="5" applyBorder="1" fontId="14" applyFont="1" fillId="0" applyAlignment="1">
      <alignment horizontal="center"/>
    </xf>
    <xf xfId="0" numFmtId="166" applyNumberFormat="1" borderId="5" applyBorder="1" fontId="14" applyFont="1" fillId="0" applyAlignment="1">
      <alignment horizontal="right"/>
    </xf>
    <xf xfId="0" numFmtId="3" applyNumberFormat="1" borderId="4" applyBorder="1" fontId="2" applyFont="1" fillId="6" applyFill="1" applyAlignment="1">
      <alignment horizontal="center"/>
    </xf>
    <xf xfId="0" numFmtId="3" applyNumberFormat="1" borderId="4" applyBorder="1" fontId="2" applyFont="1" fillId="7" applyFill="1" applyAlignment="1">
      <alignment horizontal="center"/>
    </xf>
    <xf xfId="0" numFmtId="3" applyNumberFormat="1" borderId="4" applyBorder="1" fontId="2" applyFont="1" fillId="25" applyFill="1" applyAlignment="1">
      <alignment horizontal="center"/>
    </xf>
    <xf xfId="0" numFmtId="170" applyNumberFormat="1" borderId="5" applyBorder="1" fontId="2" applyFont="1" fillId="0" applyAlignment="1">
      <alignment horizontal="center"/>
    </xf>
    <xf xfId="0" numFmtId="0" borderId="4" applyBorder="1" fontId="4" applyFont="1" fillId="5" applyFill="1" applyAlignment="1">
      <alignment horizontal="left"/>
    </xf>
    <xf xfId="0" numFmtId="0" borderId="4" applyBorder="1" fontId="2" applyFont="1" fillId="5" applyFill="1" applyAlignment="1">
      <alignment horizontal="center"/>
    </xf>
    <xf xfId="0" numFmtId="0" borderId="50" applyBorder="1" fontId="4" applyFont="1" fillId="0" applyAlignment="1">
      <alignment horizontal="center"/>
    </xf>
    <xf xfId="0" numFmtId="0" borderId="53" applyBorder="1" fontId="2" applyFont="1" fillId="0" applyAlignment="1">
      <alignment horizontal="left"/>
    </xf>
    <xf xfId="0" numFmtId="170" applyNumberFormat="1" borderId="52" applyBorder="1" fontId="2" applyFont="1" fillId="0" applyAlignment="1">
      <alignment horizontal="left"/>
    </xf>
    <xf xfId="0" numFmtId="170" applyNumberFormat="1" borderId="56" applyBorder="1" fontId="2" applyFont="1" fillId="0" applyAlignment="1">
      <alignment horizontal="left"/>
    </xf>
    <xf xfId="0" numFmtId="3" applyNumberFormat="1" borderId="57" applyBorder="1" fontId="2" applyFont="1" fillId="0" applyAlignment="1">
      <alignment horizontal="right"/>
    </xf>
    <xf xfId="0" numFmtId="170" applyNumberFormat="1" borderId="5" applyBorder="1" fontId="14" applyFont="1" fillId="0" applyAlignment="1">
      <alignment horizontal="right"/>
    </xf>
    <xf xfId="0" numFmtId="170" applyNumberFormat="1" borderId="5" applyBorder="1" fontId="14" applyFont="1" fillId="0" applyAlignment="1">
      <alignment horizontal="left"/>
    </xf>
    <xf xfId="0" numFmtId="170" applyNumberFormat="1" borderId="4" applyBorder="1" fontId="4" applyFont="1" fillId="6" applyFill="1" applyAlignment="1">
      <alignment horizontal="right"/>
    </xf>
    <xf xfId="0" numFmtId="170" applyNumberFormat="1" borderId="4" applyBorder="1" fontId="4" applyFont="1" fillId="7" applyFill="1" applyAlignment="1">
      <alignment horizontal="right"/>
    </xf>
    <xf xfId="0" numFmtId="170" applyNumberFormat="1" borderId="4" applyBorder="1" fontId="4" applyFont="1" fillId="25" applyFill="1" applyAlignment="1">
      <alignment horizontal="right"/>
    </xf>
    <xf xfId="0" numFmtId="168" applyNumberFormat="1" borderId="5" applyBorder="1" fontId="2" applyFont="1" fillId="0" applyAlignment="1">
      <alignment horizontal="right"/>
    </xf>
    <xf xfId="0" numFmtId="0" borderId="1" applyBorder="1" fontId="4" applyFont="1" fillId="6" applyFill="1" applyAlignment="1">
      <alignment horizontal="center"/>
    </xf>
    <xf xfId="0" numFmtId="1" applyNumberFormat="1" borderId="58" applyBorder="1" fontId="2" applyFont="1" fillId="0" applyAlignment="1">
      <alignment horizontal="left"/>
    </xf>
    <xf xfId="0" numFmtId="3" applyNumberFormat="1" borderId="58" applyBorder="1" fontId="2" applyFont="1" fillId="0" applyAlignment="1">
      <alignment horizontal="left"/>
    </xf>
    <xf xfId="0" numFmtId="0" borderId="58" applyBorder="1" fontId="2" applyFont="1" fillId="0" applyAlignment="1">
      <alignment horizontal="left"/>
    </xf>
    <xf xfId="0" numFmtId="0" borderId="1" applyBorder="1" fontId="4" applyFont="1" fillId="7" applyFill="1" applyAlignment="1">
      <alignment horizontal="center"/>
    </xf>
    <xf xfId="0" numFmtId="14" applyNumberFormat="1" borderId="58" applyBorder="1" fontId="2" applyFont="1" fillId="0" applyAlignment="1">
      <alignment horizontal="left"/>
    </xf>
    <xf xfId="0" numFmtId="165" applyNumberFormat="1" borderId="4" applyBorder="1" fontId="4" applyFont="1" fillId="13" applyFill="1" applyAlignment="1">
      <alignment horizontal="center" wrapText="1"/>
    </xf>
    <xf xfId="0" numFmtId="0" borderId="1" applyBorder="1" fontId="4" applyFont="1" fillId="13" applyFill="1" applyAlignment="1">
      <alignment horizontal="center"/>
    </xf>
    <xf xfId="0" numFmtId="0" borderId="4" applyBorder="1" fontId="4" applyFont="1" fillId="33" applyFill="1" applyAlignment="1">
      <alignment horizontal="left"/>
    </xf>
    <xf xfId="0" numFmtId="3" applyNumberFormat="1" borderId="4" applyBorder="1" fontId="4" applyFont="1" fillId="6" applyFill="1" applyAlignment="1">
      <alignment horizontal="center"/>
    </xf>
    <xf xfId="0" numFmtId="0" borderId="4" applyBorder="1" fontId="2" applyFont="1" fillId="6" applyFill="1" applyAlignment="1">
      <alignment horizontal="center"/>
    </xf>
    <xf xfId="0" numFmtId="0" borderId="4" applyBorder="1" fontId="1" applyFont="1" fillId="37" applyFill="1" applyAlignment="1">
      <alignment horizontal="left"/>
    </xf>
    <xf xfId="0" numFmtId="0" borderId="4" applyBorder="1" fontId="4" applyFont="1" fillId="5" applyFill="1" applyAlignment="1">
      <alignment horizontal="center"/>
    </xf>
    <xf xfId="0" numFmtId="0" borderId="4" applyBorder="1" fontId="4" applyFont="1" fillId="38" applyFill="1" applyAlignment="1">
      <alignment horizontal="left"/>
    </xf>
    <xf xfId="0" numFmtId="0" borderId="4" applyBorder="1" fontId="1" applyFont="1" fillId="3" applyFill="1" applyAlignment="1">
      <alignment horizontal="center"/>
    </xf>
    <xf xfId="0" numFmtId="4" applyNumberFormat="1" borderId="4" applyBorder="1" fontId="4" applyFont="1" fillId="20" applyFill="1" applyAlignment="1">
      <alignment horizontal="center"/>
    </xf>
    <xf xfId="0" numFmtId="1" applyNumberFormat="1" borderId="6" applyBorder="1" fontId="1" applyFont="1" fillId="14" applyFill="1" applyAlignment="1">
      <alignment horizontal="center"/>
    </xf>
    <xf xfId="0" numFmtId="0" borderId="6" applyBorder="1" fontId="1" applyFont="1" fillId="12" applyFill="1" applyAlignment="1">
      <alignment horizontal="center"/>
    </xf>
    <xf xfId="0" numFmtId="0" borderId="6" applyBorder="1" fontId="1" applyFont="1" fillId="6" applyFill="1" applyAlignment="1">
      <alignment horizontal="center"/>
    </xf>
    <xf xfId="0" numFmtId="1" applyNumberFormat="1" borderId="6" applyBorder="1" fontId="1" applyFont="1" fillId="6" applyFill="1" applyAlignment="1">
      <alignment horizontal="center"/>
    </xf>
    <xf xfId="0" numFmtId="3" applyNumberFormat="1" borderId="6" applyBorder="1" fontId="24" applyFont="1" fillId="6" applyFill="1" applyAlignment="1">
      <alignment horizontal="center"/>
    </xf>
    <xf xfId="0" numFmtId="0" borderId="6" applyBorder="1" fontId="24" applyFont="1" fillId="6" applyFill="1" applyAlignment="1">
      <alignment horizontal="center"/>
    </xf>
    <xf xfId="0" numFmtId="0" borderId="6" applyBorder="1" fontId="24" applyFont="1" fillId="6" applyFill="1" applyAlignment="1">
      <alignment horizontal="center" wrapText="1"/>
    </xf>
    <xf xfId="0" numFmtId="3" applyNumberFormat="1" borderId="6" applyBorder="1" fontId="24" applyFont="1" fillId="6" applyFill="1" applyAlignment="1">
      <alignment horizontal="center" wrapText="1"/>
    </xf>
    <xf xfId="0" numFmtId="0" borderId="6" applyBorder="1" fontId="24" applyFont="1" fillId="12" applyFill="1" applyAlignment="1">
      <alignment horizontal="center"/>
    </xf>
    <xf xfId="0" numFmtId="0" borderId="6" applyBorder="1" fontId="24" applyFont="1" fillId="7" applyFill="1" applyAlignment="1">
      <alignment horizontal="center" wrapText="1"/>
    </xf>
    <xf xfId="0" numFmtId="14" applyNumberFormat="1" borderId="6" applyBorder="1" fontId="24" applyFont="1" fillId="7" applyFill="1" applyAlignment="1">
      <alignment horizontal="center" wrapText="1"/>
    </xf>
    <xf xfId="0" numFmtId="3" applyNumberFormat="1" borderId="6" applyBorder="1" fontId="24" applyFont="1" fillId="7" applyFill="1" applyAlignment="1">
      <alignment horizontal="center" wrapText="1"/>
    </xf>
    <xf xfId="0" numFmtId="14" applyNumberFormat="1" borderId="6" applyBorder="1" fontId="1" applyFont="1" fillId="13" applyFill="1" applyAlignment="1">
      <alignment horizontal="center" wrapText="1"/>
    </xf>
    <xf xfId="0" numFmtId="0" borderId="6" applyBorder="1" fontId="1" applyFont="1" fillId="13" applyFill="1" applyAlignment="1">
      <alignment horizontal="center"/>
    </xf>
    <xf xfId="0" numFmtId="3" applyNumberFormat="1" borderId="6" applyBorder="1" fontId="1" applyFont="1" fillId="13" applyFill="1" applyAlignment="1">
      <alignment horizontal="center"/>
    </xf>
    <xf xfId="0" numFmtId="14" applyNumberFormat="1" borderId="6" applyBorder="1" fontId="1" applyFont="1" fillId="13" applyFill="1" applyAlignment="1">
      <alignment horizontal="center"/>
    </xf>
    <xf xfId="0" numFmtId="0" borderId="6" applyBorder="1" fontId="1" applyFont="1" fillId="12" applyFill="1" applyAlignment="1">
      <alignment horizontal="center" wrapText="1"/>
    </xf>
    <xf xfId="0" numFmtId="0" borderId="6" applyBorder="1" fontId="1" applyFont="1" fillId="33" applyFill="1" applyAlignment="1">
      <alignment horizontal="center"/>
    </xf>
    <xf xfId="0" numFmtId="3" applyNumberFormat="1" borderId="6" applyBorder="1" fontId="1" applyFont="1" fillId="6" applyFill="1" applyAlignment="1">
      <alignment horizontal="center"/>
    </xf>
    <xf xfId="0" numFmtId="0" borderId="6" applyBorder="1" fontId="1" applyFont="1" fillId="37" applyFill="1" applyAlignment="1">
      <alignment horizontal="center"/>
    </xf>
    <xf xfId="0" numFmtId="0" borderId="6" applyBorder="1" fontId="1" applyFont="1" fillId="5" applyFill="1" applyAlignment="1">
      <alignment horizontal="center"/>
    </xf>
    <xf xfId="0" numFmtId="0" borderId="6" applyBorder="1" fontId="1" applyFont="1" fillId="38" applyFill="1" applyAlignment="1">
      <alignment horizontal="center"/>
    </xf>
    <xf xfId="0" numFmtId="0" borderId="6" applyBorder="1" fontId="1" applyFont="1" fillId="3" applyFill="1" applyAlignment="1">
      <alignment horizontal="center"/>
    </xf>
    <xf xfId="0" numFmtId="4" applyNumberFormat="1" borderId="6" applyBorder="1" fontId="1" applyFont="1" fillId="20" applyFill="1" applyAlignment="1">
      <alignment horizontal="center" wrapText="1"/>
    </xf>
    <xf xfId="0" numFmtId="4" applyNumberFormat="1" borderId="7" applyBorder="1" fontId="1" applyFont="1" fillId="20" applyFill="1" applyAlignment="1">
      <alignment horizontal="center" wrapText="1"/>
    </xf>
    <xf xfId="0" numFmtId="165" applyNumberFormat="1" borderId="6" applyBorder="1" fontId="2" applyFont="1" fillId="14" applyFill="1" applyAlignment="1">
      <alignment horizontal="left"/>
    </xf>
    <xf xfId="0" numFmtId="0" borderId="6" applyBorder="1" fontId="2" applyFont="1" fillId="12" applyFill="1" applyAlignment="1">
      <alignment horizontal="left"/>
    </xf>
    <xf xfId="0" numFmtId="0" borderId="6" applyBorder="1" fontId="2" applyFont="1" fillId="14" applyFill="1" applyAlignment="1">
      <alignment horizontal="left"/>
    </xf>
    <xf xfId="0" numFmtId="165" applyNumberFormat="1" borderId="6" applyBorder="1" fontId="2" applyFont="1" fillId="14" applyFill="1" applyAlignment="1">
      <alignment horizontal="right"/>
    </xf>
    <xf xfId="0" numFmtId="3" applyNumberFormat="1" borderId="6" applyBorder="1" fontId="2" applyFont="1" fillId="14" applyFill="1" applyAlignment="1">
      <alignment horizontal="right"/>
    </xf>
    <xf xfId="0" numFmtId="0" borderId="17" applyBorder="1" fontId="2" applyFont="1" fillId="12" applyFill="1" applyAlignment="1">
      <alignment horizontal="left"/>
    </xf>
    <xf xfId="0" numFmtId="0" borderId="17" applyBorder="1" fontId="2" applyFont="1" fillId="11" applyFill="1" applyAlignment="1">
      <alignment horizontal="left"/>
    </xf>
    <xf xfId="0" numFmtId="0" borderId="6" applyBorder="1" fontId="2" applyFont="1" fillId="11" applyFill="1" applyAlignment="1">
      <alignment horizontal="left"/>
    </xf>
    <xf xfId="0" numFmtId="14" applyNumberFormat="1" borderId="17" applyBorder="1" fontId="2" applyFont="1" fillId="11" applyFill="1" applyAlignment="1">
      <alignment horizontal="left"/>
    </xf>
    <xf xfId="0" numFmtId="0" borderId="17" applyBorder="1" fontId="2" applyFont="1" fillId="11" applyFill="1" applyAlignment="1">
      <alignment horizontal="right"/>
    </xf>
    <xf xfId="0" numFmtId="3" applyNumberFormat="1" borderId="17" applyBorder="1" fontId="2" applyFont="1" fillId="11" applyFill="1" applyAlignment="1">
      <alignment horizontal="right"/>
    </xf>
    <xf xfId="0" numFmtId="4" applyNumberFormat="1" borderId="17" applyBorder="1" fontId="2" applyFont="1" fillId="11" applyFill="1" applyAlignment="1">
      <alignment horizontal="right"/>
    </xf>
    <xf xfId="0" numFmtId="165" applyNumberFormat="1" borderId="17" applyBorder="1" fontId="2" applyFont="1" fillId="11" applyFill="1" applyAlignment="1">
      <alignment horizontal="center"/>
    </xf>
    <xf xfId="0" numFmtId="14" applyNumberFormat="1" borderId="33" applyBorder="1" fontId="2" applyFont="1" fillId="0" applyAlignment="1">
      <alignment horizontal="left"/>
    </xf>
    <xf xfId="0" numFmtId="1" applyNumberFormat="1" borderId="33" applyBorder="1" fontId="2" applyFont="1" fillId="0" applyAlignment="1">
      <alignment horizontal="left"/>
    </xf>
    <xf xfId="0" numFmtId="0" borderId="33" applyBorder="1" fontId="2" applyFont="1" fillId="0" applyAlignment="1">
      <alignment horizontal="left"/>
    </xf>
    <xf xfId="0" numFmtId="0" borderId="17" applyBorder="1" fontId="2" applyFont="1" fillId="11" applyFill="1" applyAlignment="1">
      <alignment horizontal="left"/>
    </xf>
    <xf xfId="0" numFmtId="0" borderId="33" applyBorder="1" fontId="2" applyFont="1" fillId="0" applyAlignment="1">
      <alignment horizontal="center"/>
    </xf>
    <xf xfId="0" numFmtId="4" applyNumberFormat="1" borderId="33" applyBorder="1" fontId="2" applyFont="1" fillId="0" applyAlignment="1">
      <alignment horizontal="center"/>
    </xf>
    <xf xfId="0" numFmtId="4" applyNumberFormat="1" borderId="59" applyBorder="1" fontId="2" applyFont="1" fillId="0" applyAlignment="1">
      <alignment horizontal="center"/>
    </xf>
    <xf xfId="0" numFmtId="168" applyNumberFormat="1" borderId="59" applyBorder="1" fontId="2" applyFont="1" fillId="0" applyAlignment="1">
      <alignment horizontal="center"/>
    </xf>
    <xf xfId="0" numFmtId="1" applyNumberFormat="1" borderId="6" applyBorder="1" fontId="2" applyFont="1" fillId="14" applyFill="1" applyAlignment="1">
      <alignment horizontal="right"/>
    </xf>
    <xf xfId="0" numFmtId="0" borderId="6" applyBorder="1" fontId="2" applyFont="1" fillId="12" applyFill="1" applyAlignment="1">
      <alignment horizontal="left"/>
    </xf>
    <xf xfId="0" numFmtId="0" borderId="6" applyBorder="1" fontId="2" applyFont="1" fillId="14" applyFill="1" applyAlignment="1">
      <alignment horizontal="left"/>
    </xf>
    <xf xfId="0" numFmtId="14" applyNumberFormat="1" borderId="6" applyBorder="1" fontId="2" applyFont="1" fillId="14" applyFill="1" applyAlignment="1">
      <alignment horizontal="right"/>
    </xf>
    <xf xfId="0" numFmtId="0" borderId="6" applyBorder="1" fontId="2" applyFont="1" fillId="14" applyFill="1" applyAlignment="1">
      <alignment horizontal="right"/>
    </xf>
    <xf xfId="0" numFmtId="4" applyNumberFormat="1" borderId="6" applyBorder="1" fontId="2" applyFont="1" fillId="14" applyFill="1" applyAlignment="1">
      <alignment horizontal="right"/>
    </xf>
    <xf xfId="0" numFmtId="165" applyNumberFormat="1" borderId="6" applyBorder="1" fontId="2" applyFont="1" fillId="14" applyFill="1" applyAlignment="1">
      <alignment horizontal="center"/>
    </xf>
    <xf xfId="0" numFmtId="14" applyNumberFormat="1" borderId="6" applyBorder="1" fontId="2" applyFont="1" fillId="11" applyFill="1" applyAlignment="1">
      <alignment horizontal="left"/>
    </xf>
    <xf xfId="0" numFmtId="14" applyNumberFormat="1" borderId="6" applyBorder="1" fontId="2" applyFont="1" fillId="11" applyFill="1" applyAlignment="1">
      <alignment horizontal="right"/>
    </xf>
    <xf xfId="0" numFmtId="1" applyNumberFormat="1" borderId="6" applyBorder="1" fontId="2" applyFont="1" fillId="11" applyFill="1" applyAlignment="1">
      <alignment horizontal="right"/>
    </xf>
    <xf xfId="0" numFmtId="3" applyNumberFormat="1" borderId="6" applyBorder="1" fontId="2" applyFont="1" fillId="11" applyFill="1" applyAlignment="1">
      <alignment horizontal="right"/>
    </xf>
    <xf xfId="0" numFmtId="3" applyNumberFormat="1" borderId="6" applyBorder="1" fontId="2" applyFont="1" fillId="9" applyFill="1" applyAlignment="1">
      <alignment horizontal="right"/>
    </xf>
    <xf xfId="0" numFmtId="0" borderId="6" applyBorder="1" fontId="2" applyFont="1" fillId="9" applyFill="1" applyAlignment="1">
      <alignment horizontal="left"/>
    </xf>
    <xf xfId="0" numFmtId="0" borderId="6" applyBorder="1" fontId="2" applyFont="1" fillId="11" applyFill="1" applyAlignment="1">
      <alignment horizontal="left"/>
    </xf>
    <xf xfId="0" numFmtId="0" borderId="6" applyBorder="1" fontId="2" applyFont="1" fillId="9" applyFill="1" applyAlignment="1">
      <alignment horizontal="center"/>
    </xf>
    <xf xfId="0" numFmtId="4" applyNumberFormat="1" borderId="6" applyBorder="1" fontId="2" applyFont="1" fillId="9" applyFill="1" applyAlignment="1">
      <alignment horizontal="center"/>
    </xf>
    <xf xfId="0" numFmtId="0" borderId="6" applyBorder="1" fontId="2" applyFont="1" fillId="11" applyFill="1" applyAlignment="1">
      <alignment horizontal="right"/>
    </xf>
    <xf xfId="0" numFmtId="4" applyNumberFormat="1" borderId="6" applyBorder="1" fontId="2" applyFont="1" fillId="11" applyFill="1" applyAlignment="1">
      <alignment horizontal="right"/>
    </xf>
    <xf xfId="0" numFmtId="165" applyNumberFormat="1" borderId="6" applyBorder="1" fontId="2" applyFont="1" fillId="11" applyFill="1" applyAlignment="1">
      <alignment horizontal="center"/>
    </xf>
    <xf xfId="0" numFmtId="1" applyNumberFormat="1" borderId="6" applyBorder="1" fontId="2" applyFont="1" fillId="11" applyFill="1" applyAlignment="1">
      <alignment horizontal="left"/>
    </xf>
    <xf xfId="0" numFmtId="3" applyNumberFormat="1" borderId="60" applyBorder="1" fontId="2" applyFont="1" fillId="0" applyAlignment="1">
      <alignment horizontal="right"/>
    </xf>
    <xf xfId="0" numFmtId="0" borderId="60" applyBorder="1" fontId="2" applyFont="1" fillId="0" applyAlignment="1">
      <alignment horizontal="left"/>
    </xf>
    <xf xfId="0" numFmtId="0" borderId="60" applyBorder="1" fontId="2" applyFont="1" fillId="0" applyAlignment="1">
      <alignment horizontal="center"/>
    </xf>
    <xf xfId="0" numFmtId="4" applyNumberFormat="1" borderId="60" applyBorder="1" fontId="2" applyFont="1" fillId="0" applyAlignment="1">
      <alignment horizontal="center"/>
    </xf>
    <xf xfId="0" numFmtId="0" borderId="6" applyBorder="1" fontId="14" applyFont="1" fillId="9" applyFill="1" applyAlignment="1">
      <alignment horizontal="left"/>
    </xf>
    <xf xfId="0" numFmtId="165" applyNumberFormat="1" borderId="6" applyBorder="1" fontId="2" applyFont="1" fillId="11" applyFill="1" applyAlignment="1">
      <alignment horizontal="right"/>
    </xf>
    <xf xfId="0" numFmtId="0" borderId="6" applyBorder="1" fontId="2" applyFont="1" fillId="9" applyFill="1" applyAlignment="1">
      <alignment horizontal="left"/>
    </xf>
    <xf xfId="0" numFmtId="0" borderId="6" applyBorder="1" fontId="14" applyFont="1" fillId="11" applyFill="1" applyAlignment="1">
      <alignment horizontal="left"/>
    </xf>
    <xf xfId="0" numFmtId="0" borderId="60" applyBorder="1" fontId="2" applyFont="1" fillId="0" applyAlignment="1">
      <alignment horizontal="left"/>
    </xf>
    <xf xfId="0" numFmtId="14" applyNumberFormat="1" borderId="60" applyBorder="1" fontId="2" applyFont="1" fillId="0" applyAlignment="1">
      <alignment horizontal="left"/>
    </xf>
    <xf xfId="0" numFmtId="3" applyNumberFormat="1" borderId="60" applyBorder="1" fontId="2" applyFont="1" fillId="0" applyAlignment="1">
      <alignment horizontal="left"/>
    </xf>
    <xf xfId="0" numFmtId="14" applyNumberFormat="1" borderId="60" applyBorder="1" fontId="2" applyFont="1" fillId="0" applyAlignment="1">
      <alignment horizontal="right"/>
    </xf>
    <xf xfId="0" numFmtId="3" applyNumberFormat="1" borderId="6" applyBorder="1" fontId="2" applyFont="1" fillId="9" applyFill="1" applyAlignment="1">
      <alignment horizontal="left"/>
    </xf>
    <xf xfId="0" numFmtId="165" applyNumberFormat="1" borderId="17" applyBorder="1" fontId="2" applyFont="1" fillId="14" applyFill="1" applyAlignment="1">
      <alignment horizontal="left"/>
    </xf>
    <xf xfId="0" numFmtId="0" borderId="17" applyBorder="1" fontId="2" applyFont="1" fillId="14" applyFill="1" applyAlignment="1">
      <alignment horizontal="left"/>
    </xf>
    <xf xfId="0" numFmtId="3" applyNumberFormat="1" borderId="17" applyBorder="1" fontId="2" applyFont="1" fillId="14" applyFill="1" applyAlignment="1">
      <alignment horizontal="right"/>
    </xf>
    <xf xfId="0" numFmtId="0" borderId="17" applyBorder="1" fontId="2" applyFont="1" fillId="14" applyFill="1" applyAlignment="1">
      <alignment horizontal="left"/>
    </xf>
    <xf xfId="0" numFmtId="0" borderId="17" applyBorder="1" fontId="14" applyFont="1" fillId="14" applyFill="1" applyAlignment="1">
      <alignment horizontal="left"/>
    </xf>
    <xf xfId="0" numFmtId="0" borderId="60" applyBorder="1" fontId="2" applyFont="1" fillId="0" applyAlignment="1">
      <alignment horizontal="right"/>
    </xf>
    <xf xfId="0" numFmtId="0" borderId="60" applyBorder="1" fontId="21" applyFont="1" fillId="0" applyAlignment="1">
      <alignment horizontal="left"/>
    </xf>
    <xf xfId="0" numFmtId="0" borderId="4" applyBorder="1" fontId="2" applyFont="1" fillId="11" applyFill="1" applyAlignment="1">
      <alignment horizontal="right"/>
    </xf>
    <xf xfId="0" numFmtId="165" applyNumberFormat="1" borderId="4" applyBorder="1" fontId="2" applyFont="1" fillId="11" applyFill="1" applyAlignment="1">
      <alignment horizontal="center"/>
    </xf>
    <xf xfId="0" numFmtId="1" applyNumberFormat="1" borderId="4" applyBorder="1" fontId="2" applyFont="1" fillId="11" applyFill="1" applyAlignment="1">
      <alignment horizontal="left"/>
    </xf>
    <xf xfId="0" numFmtId="0" borderId="4" applyBorder="1" fontId="2" applyFont="1" fillId="14" applyFill="1" applyAlignment="1">
      <alignment horizontal="right"/>
    </xf>
    <xf xfId="0" numFmtId="4" applyNumberFormat="1" borderId="4" applyBorder="1" fontId="2" applyFont="1" fillId="14" applyFill="1" applyAlignment="1">
      <alignment horizontal="right"/>
    </xf>
    <xf xfId="0" numFmtId="165" applyNumberFormat="1" borderId="4" applyBorder="1" fontId="2" applyFont="1" fillId="14" applyFill="1" applyAlignment="1">
      <alignment horizontal="center"/>
    </xf>
    <xf xfId="0" numFmtId="14" applyNumberFormat="1" borderId="4" applyBorder="1" fontId="2" applyFont="1" fillId="11" applyFill="1" applyAlignment="1">
      <alignment horizontal="right"/>
    </xf>
    <xf xfId="0" numFmtId="1" applyNumberFormat="1" borderId="4" applyBorder="1" fontId="2" applyFont="1" fillId="11" applyFill="1" applyAlignment="1">
      <alignment horizontal="right"/>
    </xf>
    <xf xfId="0" numFmtId="14" applyNumberFormat="1" borderId="0" fontId="0" fillId="0" applyAlignment="1">
      <alignment horizontal="general"/>
    </xf>
    <xf xfId="0" numFmtId="165" applyNumberFormat="1" borderId="4" applyBorder="1" fontId="2" applyFont="1" fillId="14" applyFill="1" applyAlignment="1">
      <alignment horizontal="left"/>
    </xf>
    <xf xfId="0" numFmtId="0" borderId="4" applyBorder="1" fontId="2" applyFont="1" fillId="12" applyFill="1" applyAlignment="1">
      <alignment horizontal="left"/>
    </xf>
    <xf xfId="0" numFmtId="165" applyNumberFormat="1" borderId="4" applyBorder="1" fontId="2" applyFont="1" fillId="14" applyFill="1" applyAlignment="1">
      <alignment horizontal="right"/>
    </xf>
    <xf xfId="0" numFmtId="0" borderId="4" applyBorder="1" fontId="14" applyFont="1" fillId="14" applyFill="1" applyAlignment="1">
      <alignment horizontal="left"/>
    </xf>
    <xf xfId="0" numFmtId="14" applyNumberFormat="1" borderId="4" applyBorder="1" fontId="2" applyFont="1" fillId="14" applyFill="1" applyAlignment="1">
      <alignment horizontal="right"/>
    </xf>
    <xf xfId="0" numFmtId="3" applyNumberFormat="1" borderId="4" applyBorder="1" fontId="2" applyFont="1" fillId="9" applyFill="1" applyAlignment="1">
      <alignment horizontal="right"/>
    </xf>
    <xf xfId="0" numFmtId="0" borderId="4" applyBorder="1" fontId="2" applyFont="1" fillId="9" applyFill="1" applyAlignment="1">
      <alignment horizontal="center"/>
    </xf>
    <xf xfId="0" numFmtId="4" applyNumberFormat="1" borderId="4" applyBorder="1" fontId="2" applyFont="1" fillId="9" applyFill="1" applyAlignment="1">
      <alignment horizontal="center"/>
    </xf>
    <xf xfId="0" numFmtId="4" applyNumberFormat="1" borderId="5" applyBorder="1" fontId="2" applyFont="1" fillId="0" applyAlignment="1">
      <alignment horizontal="center"/>
    </xf>
    <xf xfId="0" numFmtId="165" applyNumberFormat="1" borderId="4" applyBorder="1" fontId="2" applyFont="1" fillId="11" applyFill="1" applyAlignment="1">
      <alignment horizontal="right"/>
    </xf>
    <xf xfId="0" numFmtId="0" borderId="4" applyBorder="1" fontId="2" applyFont="1" fillId="9" applyFill="1" applyAlignment="1">
      <alignment horizontal="left"/>
    </xf>
    <xf xfId="0" numFmtId="3" applyNumberFormat="1" borderId="4" applyBorder="1" fontId="2" applyFont="1" fillId="11" applyFill="1" applyAlignment="1">
      <alignment horizontal="left"/>
    </xf>
    <xf xfId="0" numFmtId="0" borderId="4" applyBorder="1" fontId="14" applyFont="1" fillId="11" applyFill="1" applyAlignment="1">
      <alignment horizontal="left"/>
    </xf>
    <xf xfId="0" numFmtId="3" applyNumberFormat="1" borderId="6" applyBorder="1" fontId="2" applyFont="1" fillId="11" applyFill="1" applyAlignment="1">
      <alignment horizontal="left"/>
    </xf>
    <xf xfId="0" numFmtId="168" applyNumberFormat="1" borderId="7" applyBorder="1" fontId="2" applyFont="1" fillId="12" applyFill="1" applyAlignment="1">
      <alignment horizontal="center"/>
    </xf>
    <xf xfId="0" numFmtId="0" borderId="4" applyBorder="1" fontId="2" applyFont="1" fillId="11" applyFill="1" applyAlignment="1">
      <alignment horizontal="center"/>
    </xf>
    <xf xfId="0" numFmtId="14" applyNumberFormat="1" borderId="0" fontId="0" fillId="0" applyAlignment="1">
      <alignment horizontal="general"/>
    </xf>
    <xf xfId="0" numFmtId="0" borderId="4" applyBorder="1" fontId="2" applyFont="1" fillId="31" applyFill="1" applyAlignment="1">
      <alignment horizontal="left"/>
    </xf>
    <xf xfId="0" numFmtId="3" applyNumberFormat="1" borderId="4" applyBorder="1" fontId="4" applyFont="1" fillId="39" applyFill="1" applyAlignment="1">
      <alignment horizontal="left"/>
    </xf>
    <xf xfId="0" numFmtId="0" borderId="4" applyBorder="1" fontId="2" applyFont="1" fillId="19" applyFill="1" applyAlignment="1">
      <alignment horizontal="left"/>
    </xf>
    <xf xfId="0" numFmtId="0" borderId="2" applyBorder="1" fontId="2" applyFont="1" fillId="14" applyFill="1" applyAlignment="1">
      <alignment horizontal="left"/>
    </xf>
    <xf xfId="0" numFmtId="3" applyNumberFormat="1" borderId="4" applyBorder="1" fontId="2" applyFont="1" fillId="6" applyFill="1" applyAlignment="1">
      <alignment horizontal="left"/>
    </xf>
    <xf xfId="0" numFmtId="3" applyNumberFormat="1" borderId="4" applyBorder="1" fontId="2" applyFont="1" fillId="4" applyFill="1" applyAlignment="1">
      <alignment horizontal="left"/>
    </xf>
    <xf xfId="0" numFmtId="3" applyNumberFormat="1" borderId="4" applyBorder="1" fontId="2" applyFont="1" fillId="40" applyFill="1" applyAlignment="1">
      <alignment horizontal="left"/>
    </xf>
    <xf xfId="0" numFmtId="3" applyNumberFormat="1" borderId="4" applyBorder="1" fontId="2" applyFont="1" fillId="41" applyFill="1" applyAlignment="1">
      <alignment horizontal="left"/>
    </xf>
    <xf xfId="0" numFmtId="3" applyNumberFormat="1" borderId="4" applyBorder="1" fontId="2" applyFont="1" fillId="7" applyFill="1" applyAlignment="1">
      <alignment horizontal="left"/>
    </xf>
    <xf xfId="0" numFmtId="3" applyNumberFormat="1" borderId="4" applyBorder="1" fontId="2" applyFont="1" fillId="20" applyFill="1" applyAlignment="1">
      <alignment horizontal="left"/>
    </xf>
    <xf xfId="0" numFmtId="3" applyNumberFormat="1" borderId="4" applyBorder="1" fontId="2" applyFont="1" fillId="42" applyFill="1" applyAlignment="1">
      <alignment horizontal="left"/>
    </xf>
    <xf xfId="0" numFmtId="3" applyNumberFormat="1" borderId="4" applyBorder="1" fontId="2" applyFont="1" fillId="43" applyFill="1" applyAlignment="1">
      <alignment horizontal="left"/>
    </xf>
    <xf xfId="0" numFmtId="0" borderId="2" applyBorder="1" fontId="2" applyFont="1" fillId="11" applyFill="1" applyAlignment="1">
      <alignment horizontal="left"/>
    </xf>
    <xf xfId="0" numFmtId="3" applyNumberFormat="1" borderId="4" applyBorder="1" fontId="2" applyFont="1" fillId="25" applyFill="1" applyAlignment="1">
      <alignment horizontal="left"/>
    </xf>
    <xf xfId="0" numFmtId="3" applyNumberFormat="1" borderId="4" applyBorder="1" fontId="2" applyFont="1" fillId="44" applyFill="1" applyAlignment="1">
      <alignment horizontal="left"/>
    </xf>
    <xf xfId="0" numFmtId="3" applyNumberFormat="1" borderId="4" applyBorder="1" fontId="2" applyFont="1" fillId="2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sharedStrings.xml" Type="http://schemas.openxmlformats.org/officeDocument/2006/relationships/sharedStrings" Id="rId16"/><Relationship Target="styles.xml" Type="http://schemas.openxmlformats.org/officeDocument/2006/relationships/styles" Id="rId17"/><Relationship Target="theme/theme1.xml" Type="http://schemas.openxmlformats.org/officeDocument/2006/relationships/theme" Id="rId18"/></Relationships>
</file>

<file path=xl/tables/table1.xml><?xml version="1.0" encoding="utf-8"?>
<table xmlns="http://schemas.openxmlformats.org/spreadsheetml/2006/main" ref="A1:AL12" displayName="OI" name="OI" id="1" totalsRowShown="0">
  <autoFilter ref="A1:AL12"/>
  <tableColumns count="38">
    <tableColumn name="ENTITY" id="1"/>
    <tableColumn name="CURR" id="2"/>
    <tableColumn name="DIMENSION" id="3"/>
    <tableColumn name="DIMENSION 2" id="4"/>
    <tableColumn name="IC" id="5"/>
    <tableColumn name="YEAR" id="6"/>
    <tableColumn name="PG" id="7"/>
    <tableColumn name="1" id="8"/>
    <tableColumn name="2" id="9"/>
    <tableColumn name="3" id="10"/>
    <tableColumn name="4" id="11"/>
    <tableColumn name="5" id="12"/>
    <tableColumn name="6" id="13"/>
    <tableColumn name="7" id="14"/>
    <tableColumn name="8" id="15"/>
    <tableColumn name="9" id="16"/>
    <tableColumn name="10" id="17"/>
    <tableColumn name="11" id="18"/>
    <tableColumn name="12" id="19"/>
    <tableColumn name="1 YTD" id="20"/>
    <tableColumn name="2 YTD" id="21"/>
    <tableColumn name="3 YTD" id="22"/>
    <tableColumn name="4 YTD" id="23"/>
    <tableColumn name="5 YTD" id="24"/>
    <tableColumn name="6 YTD" id="25"/>
    <tableColumn name="7 YTD" id="26"/>
    <tableColumn name="8 YTD" id="27"/>
    <tableColumn name="9 YTD" id="28"/>
    <tableColumn name="10 YTD" id="29"/>
    <tableColumn name="11 YTD" id="30"/>
    <tableColumn name="12 YTD" id="31"/>
    <tableColumn name="Q1" id="32"/>
    <tableColumn name="Q2" id="33"/>
    <tableColumn name="Q3" id="34"/>
    <tableColumn name="Q4" id="35"/>
    <tableColumn name="S1" id="36"/>
    <tableColumn name="S2" id="37"/>
    <tableColumn name="VKGRP" id="38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AW149" displayName="tbl_DCFC" name="tbl_DCFC" id="2" totalsRowShown="0">
  <autoFilter ref="A2:AW149"/>
  <tableColumns count="49">
    <tableColumn name="Date" id="1"/>
    <tableColumn name="BU_Key" id="2"/>
    <tableColumn name="CW" id="3"/>
    <tableColumn name="Date Devis" id="4"/>
    <tableColumn name="Devis N°" id="5"/>
    <tableColumn name="Index" id="6"/>
    <tableColumn name="Client" id="7"/>
    <tableColumn name="End Client" id="8"/>
    <tableColumn name="D Montant € HT" id="9"/>
    <tableColumn name="ASM" id="10"/>
    <tableColumn name="Categorie" id="11"/>
    <tableColumn name="Status" id="12"/>
    <tableColumn name="Spalte2" id="13"/>
    <tableColumn name="CW ORDER" id="14"/>
    <tableColumn name="OI_Year" id="15"/>
    <tableColumn name="OI_Month" id="16"/>
    <tableColumn name="Date Cmde" id="17"/>
    <tableColumn name="Cmde N°" id="18"/>
    <tableColumn name="C Montant € HT" id="19"/>
    <tableColumn name="Montant Restant €" id="20"/>
    <tableColumn name="Délai (semaine)" id="21"/>
    <tableColumn name="Spalte4" id="22"/>
    <tableColumn name="Date réelle réception matériel" id="23"/>
    <tableColumn name="CW REV" id="24"/>
    <tableColumn name="Revenue_Year" id="25"/>
    <tableColumn name="Revenue_Month" id="26"/>
    <tableColumn name="Date Liv. Réelle" id="27"/>
    <tableColumn name="Facture N°" id="28"/>
    <tableColumn name="Date Facture" id="29"/>
    <tableColumn name="F Montant HT" id="30"/>
    <tableColumn name="Date Liv. Prévue" id="31"/>
    <tableColumn name="In-house/_x000a_On-site" id="32"/>
    <tableColumn name="Raison" id="33"/>
    <tableColumn name="Spalte7" id="34"/>
    <tableColumn name="parts" id="35"/>
    <tableColumn name="Product Description" id="36"/>
    <tableColumn name="Spalte8" id="37"/>
    <tableColumn name="Commentaire" id="38"/>
    <tableColumn name="Spalte9" id="39"/>
    <tableColumn name="l'externalisation" id="40"/>
    <tableColumn name="Spalte10" id="41"/>
    <tableColumn name="Lien dossier" id="42"/>
    <tableColumn name="Spalte11" id="43"/>
    <tableColumn name="Contact Person" id="44"/>
    <tableColumn name="Spalte12" id="45"/>
    <tableColumn name="Coûts achats" id="46"/>
    <tableColumn name="Coûts main d'œuvre" id="47"/>
    <tableColumn name="Marge" id="48"/>
    <tableColumn name="Marge %" id="49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1:F14" displayName="Tabelle2" name="Tabelle2" id="3" totalsRowShown="0">
  <autoFilter ref="A1:F14"/>
  <tableColumns count="6">
    <tableColumn name="BU" id="1"/>
    <tableColumn name="Spalte1" id="2"/>
    <tableColumn name="Categorie" id="3"/>
    <tableColumn name="D-Status" id="4"/>
    <tableColumn name="Refuse Raison" id="5"/>
    <tableColumn name="externalisation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1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7"/>
  <sheetViews>
    <sheetView workbookViewId="0"/>
  </sheetViews>
  <sheetFormatPr defaultRowHeight="15" x14ac:dyDescent="0.25"/>
  <cols>
    <col min="1" max="1" style="17" width="11.43357142857143" customWidth="1" bestFit="1"/>
    <col min="2" max="2" style="17" width="14.43357142857143" customWidth="1" bestFit="1"/>
    <col min="3" max="3" style="72" width="18.14785714285714" customWidth="1" bestFit="1"/>
    <col min="4" max="4" style="17" width="12.862142857142858" customWidth="1" bestFit="1"/>
    <col min="5" max="5" style="17" width="15.576428571428572" customWidth="1" bestFit="1"/>
    <col min="6" max="6" style="17" width="16.576428571428572" customWidth="1" bestFit="1"/>
    <col min="7" max="7" style="17" width="14.147857142857141" customWidth="1" bestFit="1"/>
    <col min="8" max="8" style="18" width="14.147857142857141" customWidth="1" bestFit="1"/>
    <col min="9" max="9" style="17" width="14.147857142857141" customWidth="1" bestFit="1"/>
    <col min="10" max="10" style="17" width="14.147857142857141" customWidth="1" bestFit="1"/>
    <col min="11" max="11" style="17" width="14.147857142857141" customWidth="1" bestFit="1"/>
    <col min="12" max="12" style="17" width="14.147857142857141" customWidth="1" bestFit="1"/>
    <col min="13" max="13" style="17" width="14.147857142857141" customWidth="1" bestFit="1"/>
    <col min="14" max="14" style="17" width="14.147857142857141" customWidth="1" bestFit="1"/>
    <col min="15" max="15" style="17" width="14.147857142857141" customWidth="1" bestFit="1"/>
  </cols>
  <sheetData>
    <row x14ac:dyDescent="0.25" r="1" customHeight="1" ht="19.5">
      <c r="A1" s="655" t="s">
        <v>1047</v>
      </c>
      <c r="B1" s="655" t="s">
        <v>1048</v>
      </c>
      <c r="C1" s="655" t="s">
        <v>610</v>
      </c>
      <c r="D1" s="655" t="s">
        <v>1049</v>
      </c>
      <c r="E1" s="655" t="s">
        <v>1050</v>
      </c>
      <c r="F1" s="655" t="s">
        <v>1051</v>
      </c>
      <c r="G1" s="3"/>
      <c r="H1" s="656">
        <v>2022</v>
      </c>
      <c r="I1" s="3"/>
      <c r="J1" s="3"/>
      <c r="K1" s="3"/>
      <c r="L1" s="3"/>
      <c r="M1" s="3"/>
      <c r="N1" s="3"/>
      <c r="O1" s="3"/>
    </row>
    <row x14ac:dyDescent="0.25" r="2" customHeight="1" ht="19.5">
      <c r="A2" s="657" t="s">
        <v>305</v>
      </c>
      <c r="B2" s="3" t="s">
        <v>533</v>
      </c>
      <c r="C2" s="49" t="s">
        <v>534</v>
      </c>
      <c r="D2" s="3" t="s">
        <v>646</v>
      </c>
      <c r="E2" s="3" t="s">
        <v>1052</v>
      </c>
      <c r="F2" s="3" t="s">
        <v>1052</v>
      </c>
      <c r="G2" s="3"/>
      <c r="H2" s="204" t="s">
        <v>284</v>
      </c>
      <c r="I2" s="3"/>
      <c r="J2" s="3"/>
      <c r="K2" s="3"/>
      <c r="L2" s="3"/>
      <c r="M2" s="3"/>
      <c r="N2" s="3" t="s">
        <v>1053</v>
      </c>
      <c r="O2" s="658" t="s">
        <v>540</v>
      </c>
    </row>
    <row x14ac:dyDescent="0.25" r="3" customHeight="1" ht="19.5">
      <c r="A3" s="657" t="s">
        <v>582</v>
      </c>
      <c r="B3" s="3" t="s">
        <v>536</v>
      </c>
      <c r="C3" s="198" t="s">
        <v>537</v>
      </c>
      <c r="D3" s="3" t="s">
        <v>650</v>
      </c>
      <c r="E3" s="3" t="s">
        <v>1054</v>
      </c>
      <c r="F3" s="3" t="s">
        <v>1055</v>
      </c>
      <c r="G3" s="3"/>
      <c r="H3" s="659" t="s">
        <v>282</v>
      </c>
      <c r="I3" s="3"/>
      <c r="J3" s="3"/>
      <c r="K3" s="3"/>
      <c r="L3" s="3"/>
      <c r="M3" s="3"/>
      <c r="N3" s="3" t="s">
        <v>1056</v>
      </c>
      <c r="O3" s="658" t="s">
        <v>548</v>
      </c>
    </row>
    <row x14ac:dyDescent="0.25" r="4" customHeight="1" ht="19.5">
      <c r="A4" s="657" t="s">
        <v>578</v>
      </c>
      <c r="B4" s="3" t="s">
        <v>1057</v>
      </c>
      <c r="C4" s="49" t="s">
        <v>538</v>
      </c>
      <c r="D4" s="3" t="s">
        <v>642</v>
      </c>
      <c r="E4" s="3" t="s">
        <v>800</v>
      </c>
      <c r="F4" s="3" t="s">
        <v>1058</v>
      </c>
      <c r="G4" s="3"/>
      <c r="H4" s="660" t="s">
        <v>267</v>
      </c>
      <c r="I4" s="3"/>
      <c r="J4" s="3"/>
      <c r="K4" s="3"/>
      <c r="L4" s="3"/>
      <c r="M4" s="3"/>
      <c r="N4" s="3"/>
      <c r="O4" s="658" t="s">
        <v>550</v>
      </c>
    </row>
    <row x14ac:dyDescent="0.25" r="5" customHeight="1" ht="19.5">
      <c r="A5" s="657" t="s">
        <v>578</v>
      </c>
      <c r="B5" s="16" t="s">
        <v>539</v>
      </c>
      <c r="C5" s="49" t="s">
        <v>540</v>
      </c>
      <c r="D5" s="3" t="s">
        <v>774</v>
      </c>
      <c r="E5" s="3" t="s">
        <v>1059</v>
      </c>
      <c r="F5" s="3" t="s">
        <v>1060</v>
      </c>
      <c r="G5" s="3"/>
      <c r="H5" s="661" t="s">
        <v>268</v>
      </c>
      <c r="I5" s="3"/>
      <c r="J5" s="3"/>
      <c r="K5" s="3"/>
      <c r="L5" s="3"/>
      <c r="M5" s="3"/>
      <c r="N5" s="3"/>
      <c r="O5" s="658" t="s">
        <v>542</v>
      </c>
    </row>
    <row x14ac:dyDescent="0.25" r="6" customHeight="1" ht="19.5">
      <c r="A6" s="657" t="s">
        <v>305</v>
      </c>
      <c r="B6" s="3" t="s">
        <v>1057</v>
      </c>
      <c r="C6" s="49" t="s">
        <v>553</v>
      </c>
      <c r="D6" s="3" t="s">
        <v>1061</v>
      </c>
      <c r="E6" s="3" t="s">
        <v>1062</v>
      </c>
      <c r="F6" s="3" t="s">
        <v>1063</v>
      </c>
      <c r="G6" s="3"/>
      <c r="H6" s="662" t="s">
        <v>285</v>
      </c>
      <c r="I6" s="3"/>
      <c r="J6" s="3"/>
      <c r="K6" s="3"/>
      <c r="L6" s="3"/>
      <c r="M6" s="3"/>
      <c r="N6" s="3"/>
      <c r="O6" s="658" t="s">
        <v>538</v>
      </c>
    </row>
    <row x14ac:dyDescent="0.25" r="7" customHeight="1" ht="19.5">
      <c r="A7" s="657" t="s">
        <v>305</v>
      </c>
      <c r="B7" s="3" t="s">
        <v>541</v>
      </c>
      <c r="C7" s="49" t="s">
        <v>542</v>
      </c>
      <c r="D7" s="3" t="s">
        <v>657</v>
      </c>
      <c r="E7" s="3"/>
      <c r="F7" s="3" t="s">
        <v>1064</v>
      </c>
      <c r="G7" s="3"/>
      <c r="H7" s="663" t="s">
        <v>286</v>
      </c>
      <c r="I7" s="3"/>
      <c r="J7" s="3"/>
      <c r="K7" s="3"/>
      <c r="L7" s="3"/>
      <c r="M7" s="3"/>
      <c r="N7" s="3"/>
      <c r="O7" s="658" t="s">
        <v>544</v>
      </c>
    </row>
    <row x14ac:dyDescent="0.25" r="8" customHeight="1" ht="19.5">
      <c r="A8" s="657" t="s">
        <v>580</v>
      </c>
      <c r="B8" s="3" t="s">
        <v>543</v>
      </c>
      <c r="C8" s="49" t="s">
        <v>544</v>
      </c>
      <c r="D8" s="3"/>
      <c r="E8" s="3"/>
      <c r="F8" s="3" t="s">
        <v>1065</v>
      </c>
      <c r="G8" s="3"/>
      <c r="H8" s="664" t="s">
        <v>287</v>
      </c>
      <c r="I8" s="3"/>
      <c r="J8" s="3"/>
      <c r="K8" s="3"/>
      <c r="L8" s="3"/>
      <c r="M8" s="3"/>
      <c r="N8" s="3"/>
      <c r="O8" s="658" t="s">
        <v>551</v>
      </c>
    </row>
    <row x14ac:dyDescent="0.25" r="9" customHeight="1" ht="19.5">
      <c r="A9" s="657" t="s">
        <v>582</v>
      </c>
      <c r="B9" s="3" t="s">
        <v>545</v>
      </c>
      <c r="C9" s="49" t="s">
        <v>546</v>
      </c>
      <c r="D9" s="3"/>
      <c r="E9" s="3"/>
      <c r="F9" s="3" t="s">
        <v>1057</v>
      </c>
      <c r="G9" s="3"/>
      <c r="H9" s="665" t="s">
        <v>283</v>
      </c>
      <c r="I9" s="3"/>
      <c r="J9" s="3"/>
      <c r="K9" s="3"/>
      <c r="L9" s="3"/>
      <c r="M9" s="3"/>
      <c r="N9" s="3"/>
      <c r="O9" s="658" t="s">
        <v>537</v>
      </c>
    </row>
    <row x14ac:dyDescent="0.25" r="10" customHeight="1" ht="19.5">
      <c r="A10" s="657" t="s">
        <v>580</v>
      </c>
      <c r="B10" s="3" t="s">
        <v>547</v>
      </c>
      <c r="C10" s="49" t="s">
        <v>548</v>
      </c>
      <c r="D10" s="3"/>
      <c r="E10" s="3"/>
      <c r="F10" s="3"/>
      <c r="G10" s="3"/>
      <c r="H10" s="666" t="s">
        <v>288</v>
      </c>
      <c r="I10" s="3"/>
      <c r="J10" s="3"/>
      <c r="K10" s="3"/>
      <c r="L10" s="3"/>
      <c r="M10" s="3"/>
      <c r="N10" s="3"/>
      <c r="O10" s="667" t="s">
        <v>546</v>
      </c>
    </row>
    <row x14ac:dyDescent="0.25" r="11" customHeight="1" ht="19.5">
      <c r="A11" s="657" t="s">
        <v>578</v>
      </c>
      <c r="B11" s="16" t="s">
        <v>549</v>
      </c>
      <c r="C11" s="49" t="s">
        <v>550</v>
      </c>
      <c r="D11" s="3"/>
      <c r="E11" s="3"/>
      <c r="F11" s="3"/>
      <c r="G11" s="3"/>
      <c r="H11" s="668" t="s">
        <v>289</v>
      </c>
      <c r="I11" s="3"/>
      <c r="J11" s="3"/>
      <c r="K11" s="3"/>
      <c r="L11" s="3"/>
      <c r="M11" s="3"/>
      <c r="N11" s="3"/>
      <c r="O11" s="3"/>
    </row>
    <row x14ac:dyDescent="0.25" r="12" customHeight="1" ht="19.5">
      <c r="A12" s="657" t="s">
        <v>578</v>
      </c>
      <c r="B12" s="3" t="s">
        <v>1057</v>
      </c>
      <c r="C12" s="198" t="s">
        <v>551</v>
      </c>
      <c r="D12" s="3"/>
      <c r="E12" s="3"/>
      <c r="F12" s="3"/>
      <c r="G12" s="3"/>
      <c r="H12" s="669" t="s">
        <v>290</v>
      </c>
      <c r="I12" s="3"/>
      <c r="J12" s="3"/>
      <c r="K12" s="3"/>
      <c r="L12" s="3"/>
      <c r="M12" s="3"/>
      <c r="N12" s="3"/>
      <c r="O12" s="3"/>
    </row>
    <row x14ac:dyDescent="0.25" r="13" customHeight="1" ht="19.5">
      <c r="A13" s="657" t="s">
        <v>578</v>
      </c>
      <c r="B13" s="3" t="s">
        <v>1057</v>
      </c>
      <c r="C13" s="198" t="s">
        <v>932</v>
      </c>
      <c r="D13" s="3"/>
      <c r="E13" s="3"/>
      <c r="F13" s="3"/>
      <c r="G13" s="3"/>
      <c r="H13" s="670" t="s">
        <v>291</v>
      </c>
      <c r="I13" s="3"/>
      <c r="J13" s="3"/>
      <c r="K13" s="3"/>
      <c r="L13" s="3"/>
      <c r="M13" s="3"/>
      <c r="N13" s="3"/>
      <c r="O13" s="3"/>
    </row>
    <row x14ac:dyDescent="0.25" r="14" customHeight="1" ht="19.5">
      <c r="A14" s="657" t="s">
        <v>578</v>
      </c>
      <c r="B14" s="3" t="s">
        <v>1057</v>
      </c>
      <c r="C14" s="198" t="s">
        <v>1066</v>
      </c>
      <c r="D14" s="3"/>
      <c r="E14" s="3"/>
      <c r="F14" s="3"/>
      <c r="G14" s="3"/>
      <c r="H14" s="8"/>
      <c r="I14" s="3"/>
      <c r="J14" s="3"/>
      <c r="K14" s="3"/>
      <c r="L14" s="3"/>
      <c r="M14" s="3"/>
      <c r="N14" s="3"/>
      <c r="O14" s="3"/>
    </row>
    <row x14ac:dyDescent="0.25" r="15" customHeight="1" ht="19.5">
      <c r="A15" s="3"/>
      <c r="B15" s="3"/>
      <c r="C15" s="195"/>
      <c r="D15" s="3"/>
      <c r="E15" s="3"/>
      <c r="F15" s="3"/>
      <c r="G15" s="3"/>
      <c r="H15" s="8"/>
      <c r="I15" s="3"/>
      <c r="J15" s="3"/>
      <c r="K15" s="3"/>
      <c r="L15" s="3"/>
      <c r="M15" s="3"/>
      <c r="N15" s="3"/>
      <c r="O15" s="3"/>
    </row>
    <row x14ac:dyDescent="0.25" r="16" customHeight="1" ht="19.5">
      <c r="A16" s="3"/>
      <c r="B16" s="3"/>
      <c r="C16" s="195"/>
      <c r="D16" s="3"/>
      <c r="E16" s="3"/>
      <c r="F16" s="3"/>
      <c r="G16" s="3"/>
      <c r="H16" s="8"/>
      <c r="I16" s="3"/>
      <c r="J16" s="3"/>
      <c r="K16" s="3"/>
      <c r="L16" s="3"/>
      <c r="M16" s="3"/>
      <c r="N16" s="3"/>
      <c r="O16" s="3"/>
    </row>
    <row x14ac:dyDescent="0.25" r="17" customHeight="1" ht="19.5">
      <c r="A17" s="3"/>
      <c r="B17" s="3"/>
      <c r="C17" s="195"/>
      <c r="D17" s="3"/>
      <c r="E17" s="3"/>
      <c r="F17" s="3"/>
      <c r="G17" s="3"/>
      <c r="H17" s="8"/>
      <c r="I17" s="3"/>
      <c r="J17" s="3"/>
      <c r="K17" s="3"/>
      <c r="L17" s="3"/>
      <c r="M17" s="3"/>
      <c r="N17" s="3"/>
      <c r="O17" s="3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4"/>
  <sheetViews>
    <sheetView workbookViewId="0"/>
  </sheetViews>
  <sheetFormatPr defaultRowHeight="15" x14ac:dyDescent="0.25"/>
  <cols>
    <col min="1" max="1" style="17" width="14.147857142857141" customWidth="1" bestFit="1"/>
    <col min="2" max="2" style="17" width="6.147857142857143" customWidth="1" bestFit="1"/>
    <col min="3" max="3" style="47" width="10.147857142857141" customWidth="1" bestFit="1"/>
    <col min="4" max="4" style="47" width="10.147857142857141" customWidth="1" bestFit="1"/>
    <col min="5" max="5" style="47" width="10.147857142857141" customWidth="1" bestFit="1"/>
    <col min="6" max="6" style="47" width="9.147857142857141" customWidth="1" bestFit="1"/>
    <col min="7" max="7" style="47" width="9.147857142857141" customWidth="1" bestFit="1"/>
    <col min="8" max="8" style="47" width="9.147857142857141" customWidth="1" bestFit="1"/>
    <col min="9" max="9" style="47" width="10.147857142857141" customWidth="1" bestFit="1"/>
    <col min="10" max="10" style="47" width="11.862142857142858" customWidth="1" bestFit="1"/>
    <col min="11" max="11" style="47" width="9.147857142857141" customWidth="1" bestFit="1"/>
    <col min="12" max="12" style="47" width="10.147857142857141" customWidth="1" bestFit="1"/>
    <col min="13" max="13" style="47" width="9.147857142857141" customWidth="1" bestFit="1"/>
    <col min="14" max="14" style="47" width="10.147857142857141" customWidth="1" bestFit="1"/>
    <col min="15" max="15" style="17" width="11.862142857142858" customWidth="1" bestFit="1"/>
    <col min="16" max="16" style="17" width="14.147857142857141" customWidth="1" bestFit="1"/>
  </cols>
  <sheetData>
    <row x14ac:dyDescent="0.25" r="1" customHeight="1" ht="19.5">
      <c r="A1" s="3"/>
      <c r="B1" s="111"/>
      <c r="C1" s="229">
        <v>25569.04216974537</v>
      </c>
      <c r="D1" s="230">
        <v>25569.042170104167</v>
      </c>
      <c r="E1" s="230">
        <v>25569.04217042824</v>
      </c>
      <c r="F1" s="230">
        <v>25569.042170787037</v>
      </c>
      <c r="G1" s="230">
        <v>25569.04217113426</v>
      </c>
      <c r="H1" s="230">
        <v>25569.042171493056</v>
      </c>
      <c r="I1" s="230">
        <v>25569.04217184028</v>
      </c>
      <c r="J1" s="230">
        <v>25569.042172199075</v>
      </c>
      <c r="K1" s="230">
        <v>25569.04217255787</v>
      </c>
      <c r="L1" s="230">
        <v>25569.042172905094</v>
      </c>
      <c r="M1" s="230">
        <v>25569.04217326389</v>
      </c>
      <c r="N1" s="230">
        <v>25569.04217361111</v>
      </c>
      <c r="O1" s="231" t="s">
        <v>86</v>
      </c>
      <c r="P1" s="3"/>
    </row>
    <row x14ac:dyDescent="0.25" r="2" customHeight="1" ht="19.5">
      <c r="A2" s="3"/>
      <c r="B2" s="3" t="s">
        <v>141</v>
      </c>
      <c r="C2" s="232">
        <f>'Monthly Data'!C3+AIA!C4+AIA!C5</f>
      </c>
      <c r="D2" s="232">
        <f>'Monthly Data'!D3+AIA!D4+AIA!D5</f>
      </c>
      <c r="E2" s="232">
        <f>'Monthly Data'!E3+AIA!E4+AIA!E5</f>
      </c>
      <c r="F2" s="232">
        <f>'Monthly Data'!F3+AIA!F4+AIA!F5</f>
      </c>
      <c r="G2" s="232">
        <f>'Monthly Data'!G3+AIA!G4+AIA!G5</f>
      </c>
      <c r="H2" s="232">
        <f>'Monthly Data'!H3+AIA!H4+AIA!H5</f>
      </c>
      <c r="I2" s="232">
        <f>'Monthly Data'!I3+AIA!I4+AIA!I5</f>
      </c>
      <c r="J2" s="232">
        <f>'Monthly Data'!J3+AIA!J4+AIA!J5</f>
      </c>
      <c r="K2" s="232">
        <f>'Monthly Data'!K3+AIA!K4+AIA!K5</f>
      </c>
      <c r="L2" s="232">
        <f>'Monthly Data'!L3+AIA!L4+AIA!L5</f>
      </c>
      <c r="M2" s="232">
        <f>'Monthly Data'!M3+AIA!M4+AIA!M5</f>
      </c>
      <c r="N2" s="232">
        <f>'Monthly Data'!N3+AIA!N4+AIA!N5</f>
      </c>
      <c r="O2" s="233">
        <f>SUM(C2:N2)</f>
      </c>
      <c r="P2" s="3"/>
    </row>
    <row x14ac:dyDescent="0.25" r="3" customHeight="1" ht="19.5">
      <c r="A3" s="3"/>
      <c r="B3" s="111" t="s">
        <v>142</v>
      </c>
      <c r="C3" s="234">
        <f>'Monthly Data'!C4+AIA!C6+AIA!C7</f>
      </c>
      <c r="D3" s="234">
        <f>'Monthly Data'!D4+AIA!D6</f>
      </c>
      <c r="E3" s="234">
        <f>'Monthly Data'!E4+AIA!E6+AIA!E7</f>
      </c>
      <c r="F3" s="234">
        <f>'Monthly Data'!F4+AIA!F6+AIA!F7</f>
      </c>
      <c r="G3" s="234">
        <f>'Monthly Data'!G4+AIA!G6+AIA!G7</f>
      </c>
      <c r="H3" s="234">
        <f>'Monthly Data'!H4+AIA!H6+AIA!H7</f>
      </c>
      <c r="I3" s="234">
        <f>'Monthly Data'!I4+AIA!I6+AIA!I7</f>
      </c>
      <c r="J3" s="234">
        <f>'Monthly Data'!J4+AIA!J6+AIA!J7</f>
      </c>
      <c r="K3" s="234">
        <f>'Monthly Data'!K4+AIA!K6+AIA!K7</f>
      </c>
      <c r="L3" s="234">
        <f>'Monthly Data'!L4+AIA!L6+AIA!L7</f>
      </c>
      <c r="M3" s="234">
        <f>'Monthly Data'!M4+AIA!M6+AIA!M7</f>
      </c>
      <c r="N3" s="234">
        <f>'Monthly Data'!N4+AIA!N6+AIA!N7</f>
      </c>
      <c r="O3" s="235">
        <f>SUM(C3:N3)</f>
      </c>
      <c r="P3" s="3"/>
    </row>
    <row x14ac:dyDescent="0.25" r="4" customHeight="1" ht="19.5">
      <c r="A4" s="3"/>
      <c r="B4" s="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232"/>
      <c r="P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5"/>
  <sheetViews>
    <sheetView workbookViewId="0"/>
  </sheetViews>
  <sheetFormatPr defaultRowHeight="15" x14ac:dyDescent="0.25"/>
  <cols>
    <col min="1" max="1" style="17" width="17.862142857142857" customWidth="1" bestFit="1"/>
    <col min="2" max="2" style="18" width="20.14785714285714" customWidth="1" bestFit="1"/>
    <col min="3" max="3" style="210" width="12.005" customWidth="1" bestFit="1"/>
    <col min="4" max="4" style="210" width="14.147857142857141" customWidth="1" bestFit="1"/>
    <col min="5" max="5" style="210" width="14.147857142857141" customWidth="1" bestFit="1"/>
    <col min="6" max="6" style="210" width="14.147857142857141" customWidth="1" bestFit="1"/>
    <col min="7" max="7" style="210" width="17.14785714285714" customWidth="1" bestFit="1"/>
    <col min="8" max="8" style="17" width="12.005" customWidth="1" bestFit="1"/>
    <col min="9" max="9" style="17" width="13.576428571428572" customWidth="1" bestFit="1"/>
  </cols>
  <sheetData>
    <row x14ac:dyDescent="0.25" r="1" customHeight="1" ht="15">
      <c r="A1" s="3"/>
      <c r="B1" s="8" t="s">
        <v>335</v>
      </c>
      <c r="C1" s="74"/>
      <c r="D1" s="74"/>
      <c r="E1" s="74"/>
      <c r="F1" s="74"/>
      <c r="G1" s="74"/>
      <c r="H1" s="3"/>
      <c r="I1" s="3"/>
    </row>
    <row x14ac:dyDescent="0.25" r="2" customHeight="1" ht="15">
      <c r="A2" s="3"/>
      <c r="B2" s="211">
        <v>2020</v>
      </c>
      <c r="C2" s="212" t="s">
        <v>336</v>
      </c>
      <c r="D2" s="212" t="s">
        <v>87</v>
      </c>
      <c r="E2" s="212" t="s">
        <v>337</v>
      </c>
      <c r="F2" s="212" t="s">
        <v>338</v>
      </c>
      <c r="G2" s="212" t="s">
        <v>339</v>
      </c>
      <c r="H2" s="213" t="s">
        <v>340</v>
      </c>
      <c r="I2" s="214" t="s">
        <v>86</v>
      </c>
    </row>
    <row x14ac:dyDescent="0.25" r="3" customHeight="1" ht="15">
      <c r="A3" s="3"/>
      <c r="B3" s="215" t="s">
        <v>341</v>
      </c>
      <c r="C3" s="216">
        <v>0</v>
      </c>
      <c r="D3" s="216">
        <v>80000</v>
      </c>
      <c r="E3" s="216">
        <v>345000</v>
      </c>
      <c r="F3" s="216">
        <v>120000</v>
      </c>
      <c r="G3" s="216">
        <v>484760</v>
      </c>
      <c r="H3" s="216"/>
      <c r="I3" s="217">
        <f>SUM(C3:H3)</f>
      </c>
    </row>
    <row x14ac:dyDescent="0.25" r="4" customHeight="1" ht="19.5">
      <c r="A4" s="3"/>
      <c r="B4" s="218" t="s">
        <v>342</v>
      </c>
      <c r="C4" s="219">
        <v>0</v>
      </c>
      <c r="D4" s="219">
        <v>60000</v>
      </c>
      <c r="E4" s="219">
        <v>300000</v>
      </c>
      <c r="F4" s="219">
        <v>120000</v>
      </c>
      <c r="G4" s="219"/>
      <c r="H4" s="219"/>
      <c r="I4" s="220">
        <f>SUM(C4:H4)</f>
      </c>
    </row>
    <row x14ac:dyDescent="0.25" r="5" customHeight="1" ht="15">
      <c r="A5" s="3"/>
      <c r="B5" s="221" t="s">
        <v>343</v>
      </c>
      <c r="C5" s="222">
        <v>999890</v>
      </c>
      <c r="D5" s="222">
        <v>30253</v>
      </c>
      <c r="E5" s="222">
        <v>9411</v>
      </c>
      <c r="F5" s="222">
        <v>0</v>
      </c>
      <c r="G5" s="222"/>
      <c r="H5" s="222"/>
      <c r="I5" s="223">
        <f>SUM(C5:H5)</f>
      </c>
    </row>
    <row x14ac:dyDescent="0.25" r="6" customHeight="1" ht="15">
      <c r="A6" s="3"/>
      <c r="B6" s="224" t="s">
        <v>344</v>
      </c>
      <c r="C6" s="225">
        <v>860721</v>
      </c>
      <c r="D6" s="225">
        <f>(D4+D5)*0.8</f>
      </c>
      <c r="E6" s="225">
        <f>(E4+E5)*0.7</f>
      </c>
      <c r="F6" s="225">
        <f>(F4+F5)*0.65</f>
      </c>
      <c r="G6" s="225"/>
      <c r="H6" s="225">
        <f>-H7</f>
      </c>
      <c r="I6" s="220">
        <f>SUM(C6:H6)</f>
      </c>
    </row>
    <row x14ac:dyDescent="0.25" r="7" customHeight="1" ht="15">
      <c r="A7" s="3"/>
      <c r="B7" s="215" t="s">
        <v>345</v>
      </c>
      <c r="C7" s="216">
        <f>C5+C4-C6</f>
      </c>
      <c r="D7" s="216">
        <f>D5+D4-D6</f>
      </c>
      <c r="E7" s="216">
        <f>E5+E4-E6</f>
      </c>
      <c r="F7" s="216">
        <f>F5+F4-F6</f>
      </c>
      <c r="G7" s="216">
        <f>G3</f>
      </c>
      <c r="H7" s="226">
        <f>Reporting!O20</f>
      </c>
      <c r="I7" s="227">
        <f>SUM(C7:H7)</f>
      </c>
    </row>
    <row x14ac:dyDescent="0.25" r="8" customHeight="1" ht="19.5">
      <c r="A8" s="3"/>
      <c r="B8" s="228"/>
      <c r="C8" s="127"/>
      <c r="D8" s="74"/>
      <c r="E8" s="74"/>
      <c r="F8" s="74"/>
      <c r="G8" s="74"/>
      <c r="H8" s="3"/>
      <c r="I8" s="3"/>
    </row>
    <row x14ac:dyDescent="0.25" r="9" customHeight="1" ht="19.5">
      <c r="A9" s="3"/>
      <c r="B9" s="8"/>
      <c r="C9" s="74"/>
      <c r="D9" s="74"/>
      <c r="E9" s="74"/>
      <c r="F9" s="74"/>
      <c r="G9" s="74"/>
      <c r="H9" s="3"/>
      <c r="I9" s="3"/>
    </row>
    <row x14ac:dyDescent="0.25" r="10" customHeight="1" ht="19.5">
      <c r="A10" s="3"/>
      <c r="B10" s="228"/>
      <c r="C10" s="127"/>
      <c r="D10" s="74"/>
      <c r="E10" s="74"/>
      <c r="F10" s="74"/>
      <c r="G10" s="74"/>
      <c r="H10" s="3"/>
      <c r="I10" s="3"/>
    </row>
    <row x14ac:dyDescent="0.25" r="11" customHeight="1" ht="19.5">
      <c r="A11" s="3"/>
      <c r="B11" s="8"/>
      <c r="C11" s="74"/>
      <c r="D11" s="74"/>
      <c r="E11" s="74"/>
      <c r="F11" s="74"/>
      <c r="G11" s="74"/>
      <c r="H11" s="3"/>
      <c r="I11" s="3"/>
    </row>
    <row x14ac:dyDescent="0.25" r="12" customHeight="1" ht="19.5">
      <c r="A12" s="3"/>
      <c r="B12" s="228"/>
      <c r="C12" s="127"/>
      <c r="D12" s="74"/>
      <c r="E12" s="74"/>
      <c r="F12" s="74"/>
      <c r="G12" s="74"/>
      <c r="H12" s="3"/>
      <c r="I12" s="3"/>
    </row>
    <row x14ac:dyDescent="0.25" r="13" customHeight="1" ht="19.5">
      <c r="A13" s="3"/>
      <c r="B13" s="8"/>
      <c r="C13" s="74"/>
      <c r="D13" s="74"/>
      <c r="E13" s="74"/>
      <c r="F13" s="74"/>
      <c r="G13" s="74"/>
      <c r="H13" s="3"/>
      <c r="I13" s="3"/>
    </row>
    <row x14ac:dyDescent="0.25" r="14" customHeight="1" ht="19.5">
      <c r="A14" s="3"/>
      <c r="B14" s="8"/>
      <c r="C14" s="127"/>
      <c r="D14" s="127"/>
      <c r="E14" s="127"/>
      <c r="F14" s="127"/>
      <c r="G14" s="127"/>
      <c r="H14" s="127"/>
      <c r="I14" s="127"/>
    </row>
    <row x14ac:dyDescent="0.25" r="15" customHeight="1" ht="19.5">
      <c r="A15" s="3"/>
      <c r="B15" s="8"/>
      <c r="C15" s="74"/>
      <c r="D15" s="74"/>
      <c r="E15" s="74"/>
      <c r="F15" s="74"/>
      <c r="G15" s="127"/>
      <c r="H15" s="3"/>
      <c r="I15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145"/>
  <sheetViews>
    <sheetView workbookViewId="0"/>
  </sheetViews>
  <sheetFormatPr defaultRowHeight="15" x14ac:dyDescent="0.25"/>
  <cols>
    <col min="1" max="1" style="17" width="28.433571428571426" customWidth="1" bestFit="1"/>
    <col min="2" max="2" style="18" width="16.862142857142857" customWidth="1" bestFit="1"/>
    <col min="3" max="3" style="209" width="9.43357142857143" customWidth="1" bestFit="1"/>
    <col min="4" max="4" style="18" width="12.576428571428572" customWidth="1" bestFit="1"/>
    <col min="5" max="5" style="210" width="12.147857142857141" customWidth="1" bestFit="1"/>
    <col min="6" max="6" style="210" width="12.576428571428572" customWidth="1" bestFit="1"/>
    <col min="7" max="7" style="210" width="13.147857142857141" customWidth="1" bestFit="1"/>
    <col min="8" max="8" style="210" width="16.862142857142857" customWidth="1" bestFit="1"/>
    <col min="9" max="9" style="210" width="12.576428571428572" customWidth="1" bestFit="1"/>
    <col min="10" max="10" style="210" width="12.862142857142858" customWidth="1" bestFit="1"/>
    <col min="11" max="11" style="210" width="12.862142857142858" customWidth="1" bestFit="1"/>
    <col min="12" max="12" style="18" width="12.862142857142858" customWidth="1" bestFit="1"/>
    <col min="13" max="13" style="18" width="12.862142857142858" customWidth="1" bestFit="1"/>
    <col min="14" max="14" style="18" width="12.862142857142858" customWidth="1" bestFit="1"/>
    <col min="15" max="15" style="210" width="12.862142857142858" customWidth="1" bestFit="1"/>
    <col min="16" max="16" style="18" width="13.862142857142858" customWidth="1" bestFit="1"/>
    <col min="17" max="17" style="17" width="12.862142857142858" customWidth="1" bestFit="1"/>
    <col min="18" max="18" style="17" width="14.005" customWidth="1" bestFit="1"/>
    <col min="19" max="19" style="17" width="12.862142857142858" customWidth="1" bestFit="1"/>
    <col min="20" max="20" style="17" width="13.147857142857141" customWidth="1" bestFit="1"/>
    <col min="21" max="21" style="17" width="13.43357142857143" customWidth="1" bestFit="1"/>
    <col min="22" max="22" style="17" width="13.43357142857143" customWidth="1" bestFit="1"/>
    <col min="23" max="23" style="17" width="12.005" customWidth="1" bestFit="1"/>
    <col min="24" max="24" style="17" width="12.005" customWidth="1" bestFit="1"/>
    <col min="25" max="25" style="17" width="12.005" customWidth="1" bestFit="1"/>
    <col min="26" max="26" style="17" width="12.005" customWidth="1" bestFit="1"/>
    <col min="27" max="27" style="17" width="12.005" customWidth="1" bestFit="1"/>
    <col min="28" max="28" style="17" width="12.005" customWidth="1" bestFit="1"/>
    <col min="29" max="29" style="17" width="12.005" customWidth="1" bestFit="1"/>
    <col min="30" max="30" style="17" width="12.576428571428572" customWidth="1" bestFit="1"/>
    <col min="31" max="31" style="17" width="12.576428571428572" customWidth="1" bestFit="1"/>
    <col min="32" max="32" style="17" width="13.862142857142858" customWidth="1" bestFit="1"/>
    <col min="33" max="33" style="17" width="12.576428571428572" customWidth="1" bestFit="1"/>
    <col min="34" max="34" style="17" width="12.147857142857141" customWidth="1" bestFit="1"/>
    <col min="35" max="35" style="17" width="12.576428571428572" customWidth="1" bestFit="1"/>
    <col min="36" max="36" style="17" width="14.005" customWidth="1" bestFit="1"/>
    <col min="37" max="37" style="17" width="13.862142857142858" customWidth="1" bestFit="1"/>
    <col min="38" max="38" style="17" width="12.005" customWidth="1" bestFit="1"/>
    <col min="39" max="39" style="17" width="12.576428571428572" customWidth="1" bestFit="1"/>
    <col min="40" max="40" style="17" width="12.862142857142858" customWidth="1" bestFit="1"/>
    <col min="41" max="41" style="17" width="12.005" customWidth="1" bestFit="1"/>
    <col min="42" max="42" style="17" width="13.576428571428572" customWidth="1" bestFit="1"/>
    <col min="43" max="43" style="17" width="12.862142857142858" customWidth="1" bestFit="1"/>
    <col min="44" max="44" style="17" width="12.43357142857143" customWidth="1" bestFit="1"/>
    <col min="45" max="45" style="17" width="13.576428571428572" customWidth="1" bestFit="1"/>
    <col min="46" max="46" style="17" width="13.576428571428572" customWidth="1" bestFit="1"/>
    <col min="47" max="47" style="17" width="12.862142857142858" customWidth="1" bestFit="1"/>
    <col min="48" max="48" style="17" width="11.862142857142858" customWidth="1" bestFit="1"/>
    <col min="49" max="49" style="17" width="12.147857142857141" customWidth="1" bestFit="1"/>
    <col min="50" max="50" style="17" width="12.005" customWidth="1" bestFit="1"/>
    <col min="51" max="51" style="17" width="12.005" customWidth="1" bestFit="1"/>
    <col min="52" max="52" style="17" width="12.005" customWidth="1" bestFit="1"/>
    <col min="53" max="53" style="17" width="12.005" customWidth="1" bestFit="1"/>
    <col min="54" max="54" style="17" width="12.005" customWidth="1" bestFit="1"/>
  </cols>
  <sheetData>
    <row x14ac:dyDescent="0.25" r="1" customHeight="1" ht="19.5">
      <c r="A1" s="33" t="s">
        <v>85</v>
      </c>
      <c r="B1" s="8"/>
      <c r="C1" s="73"/>
      <c r="D1" s="8"/>
      <c r="E1" s="74"/>
      <c r="F1" s="74"/>
      <c r="G1" s="74"/>
      <c r="H1" s="74"/>
      <c r="I1" s="74"/>
      <c r="J1" s="74"/>
      <c r="K1" s="74"/>
      <c r="L1" s="8"/>
      <c r="M1" s="8"/>
      <c r="N1" s="8"/>
      <c r="O1" s="74"/>
      <c r="P1" s="8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9.5">
      <c r="A2" s="3"/>
      <c r="B2" s="8"/>
      <c r="C2" s="73"/>
      <c r="D2" s="8"/>
      <c r="E2" s="74"/>
      <c r="F2" s="74"/>
      <c r="G2" s="74"/>
      <c r="H2" s="74"/>
      <c r="I2" s="74"/>
      <c r="J2" s="74"/>
      <c r="K2" s="74"/>
      <c r="L2" s="8"/>
      <c r="M2" s="8"/>
      <c r="N2" s="8"/>
      <c r="O2" s="74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5.6">
      <c r="A3" s="75" t="s">
        <v>86</v>
      </c>
      <c r="B3" s="76" t="s">
        <v>87</v>
      </c>
      <c r="C3" s="77" t="s">
        <v>88</v>
      </c>
      <c r="D3" s="77" t="s">
        <v>89</v>
      </c>
      <c r="E3" s="78" t="s">
        <v>90</v>
      </c>
      <c r="F3" s="79" t="s">
        <v>91</v>
      </c>
      <c r="G3" s="79" t="s">
        <v>92</v>
      </c>
      <c r="H3" s="79" t="s">
        <v>93</v>
      </c>
      <c r="I3" s="78" t="s">
        <v>94</v>
      </c>
      <c r="J3" s="79" t="s">
        <v>95</v>
      </c>
      <c r="K3" s="78" t="s">
        <v>96</v>
      </c>
      <c r="L3" s="80" t="s">
        <v>97</v>
      </c>
      <c r="M3" s="80" t="s">
        <v>98</v>
      </c>
      <c r="N3" s="80" t="s">
        <v>99</v>
      </c>
      <c r="O3" s="79" t="s">
        <v>100</v>
      </c>
      <c r="P3" s="80" t="s">
        <v>101</v>
      </c>
      <c r="Q3" s="81" t="s">
        <v>102</v>
      </c>
      <c r="R3" s="81" t="s">
        <v>103</v>
      </c>
      <c r="S3" s="82" t="s">
        <v>104</v>
      </c>
      <c r="T3" s="81" t="s">
        <v>105</v>
      </c>
      <c r="U3" s="81" t="s">
        <v>106</v>
      </c>
      <c r="V3" s="81" t="s">
        <v>107</v>
      </c>
      <c r="W3" s="81" t="s">
        <v>108</v>
      </c>
      <c r="X3" s="81" t="s">
        <v>109</v>
      </c>
      <c r="Y3" s="81" t="s">
        <v>110</v>
      </c>
      <c r="Z3" s="81" t="s">
        <v>111</v>
      </c>
      <c r="AA3" s="81" t="s">
        <v>112</v>
      </c>
      <c r="AB3" s="81" t="s">
        <v>113</v>
      </c>
      <c r="AC3" s="81" t="s">
        <v>114</v>
      </c>
      <c r="AD3" s="83" t="s">
        <v>115</v>
      </c>
      <c r="AE3" s="81" t="s">
        <v>116</v>
      </c>
      <c r="AF3" s="81" t="s">
        <v>117</v>
      </c>
      <c r="AG3" s="81" t="s">
        <v>118</v>
      </c>
      <c r="AH3" s="81" t="s">
        <v>119</v>
      </c>
      <c r="AI3" s="84" t="s">
        <v>120</v>
      </c>
      <c r="AJ3" s="81" t="s">
        <v>121</v>
      </c>
      <c r="AK3" s="81" t="s">
        <v>122</v>
      </c>
      <c r="AL3" s="81" t="s">
        <v>123</v>
      </c>
      <c r="AM3" s="81" t="s">
        <v>124</v>
      </c>
      <c r="AN3" s="81" t="s">
        <v>125</v>
      </c>
      <c r="AO3" s="81" t="s">
        <v>126</v>
      </c>
      <c r="AP3" s="81" t="s">
        <v>127</v>
      </c>
      <c r="AQ3" s="81" t="s">
        <v>128</v>
      </c>
      <c r="AR3" s="81" t="s">
        <v>129</v>
      </c>
      <c r="AS3" s="81" t="s">
        <v>130</v>
      </c>
      <c r="AT3" s="81" t="s">
        <v>131</v>
      </c>
      <c r="AU3" s="81" t="s">
        <v>132</v>
      </c>
      <c r="AV3" s="81" t="s">
        <v>133</v>
      </c>
      <c r="AW3" s="81" t="s">
        <v>134</v>
      </c>
      <c r="AX3" s="81" t="s">
        <v>135</v>
      </c>
      <c r="AY3" s="81" t="s">
        <v>136</v>
      </c>
      <c r="AZ3" s="81" t="s">
        <v>137</v>
      </c>
      <c r="BA3" s="81" t="s">
        <v>138</v>
      </c>
      <c r="BB3" s="81" t="s">
        <v>139</v>
      </c>
    </row>
    <row x14ac:dyDescent="0.25" r="4" customHeight="1" ht="15.6">
      <c r="A4" s="85">
        <f>SUM(C4:BB4)</f>
      </c>
      <c r="B4" s="86" t="s">
        <v>140</v>
      </c>
      <c r="C4" s="85">
        <f>SUMIF(Data!$C12:$C341,C3,Data!$I12:$I341)</f>
      </c>
      <c r="D4" s="85">
        <f>SUMIF(Data!$C12:$C341,D3,Data!$I12:$I341)</f>
      </c>
      <c r="E4" s="85">
        <f>SUMIF(Data!$C12:$C341,E3,Data!$I12:$I341)</f>
      </c>
      <c r="F4" s="85">
        <f>SUMIF(Data!$C12:$C341,F3,Data!$I12:$I341)</f>
      </c>
      <c r="G4" s="85">
        <f>SUMIF(Data!$C12:$C341,G3,Data!$I12:$I341)</f>
      </c>
      <c r="H4" s="85">
        <f>SUMIF(Data!$C12:$C341,H3,Data!$I12:$I341)</f>
      </c>
      <c r="I4" s="85">
        <f>SUMIF(Data!$C12:$C341,I3,Data!$I12:$I341)</f>
      </c>
      <c r="J4" s="85">
        <f>SUMIF(Data!$C12:$C341,J3,Data!$I12:$I341)</f>
      </c>
      <c r="K4" s="85">
        <f>SUMIF(Data!$C12:$C341,K3,Data!$I12:$I341)</f>
      </c>
      <c r="L4" s="85">
        <f>SUMIF(Data!$C12:$C341,L3,Data!$I12:$I341)</f>
      </c>
      <c r="M4" s="85">
        <f>SUMIF(Data!$C12:$C341,M3,Data!$I12:$I341)</f>
      </c>
      <c r="N4" s="85">
        <f>SUMIF(Data!$C12:$C341,N3,Data!$I12:$I341)</f>
      </c>
      <c r="O4" s="85">
        <f>SUMIF(Data!$C12:$C341,O3,Data!$I12:$I341)</f>
      </c>
      <c r="P4" s="85">
        <f>SUMIF(Data!$C12:$C341,P3,Data!$I12:$I341)</f>
      </c>
      <c r="Q4" s="85">
        <f>SUMIF(Data!$C12:$C341,Q3,Data!$I12:$I341)</f>
      </c>
      <c r="R4" s="87">
        <f>SUMIF(Data!$C12:$C341,R3,Data!$I12:$I341)</f>
      </c>
      <c r="S4" s="87">
        <f>SUMIF(Data!$C12:$C341,S3,Data!$I12:$I341)</f>
      </c>
      <c r="T4" s="88">
        <f>SUMIF(Data!$C12:$C851,T3,Data!$I12:$I851)</f>
      </c>
      <c r="U4" s="88">
        <f>SUMIF(Data!$C12:$C851,U3,Data!$I12:$I851)</f>
      </c>
      <c r="V4" s="88">
        <f>SUMIF(Data!$C12:$C851,V3,Data!$I12:$I851)</f>
      </c>
      <c r="W4" s="88">
        <f>SUMIF(Data!$C12:$C851,W3,Data!$I12:$I851)</f>
      </c>
      <c r="X4" s="88">
        <f>SUMIF(Data!$C12:$C851,X3,Data!$I12:$I851)</f>
      </c>
      <c r="Y4" s="88">
        <f>SUMIF(Data!$C12:$C851,Y3,Data!$I12:$I851)</f>
      </c>
      <c r="Z4" s="88">
        <f>SUMIF(Data!$C12:$C851,Z3,Data!$I12:$I851)</f>
      </c>
      <c r="AA4" s="88">
        <f>SUMIF(Data!$C12:$C851,AA3,Data!$I12:$I851)</f>
      </c>
      <c r="AB4" s="88">
        <f>SUMIF(Data!$C12:$C851,AB3,Data!$I12:$I851)</f>
      </c>
      <c r="AC4" s="88">
        <f>SUMIF(Data!$C12:$C851,AC3,Data!$I12:$I851)</f>
      </c>
      <c r="AD4" s="88">
        <f>SUMIF(Data!$C12:$C851,AD3,Data!$I12:$I851)</f>
      </c>
      <c r="AE4" s="89">
        <f>SUMIF(Data!$C12:$C341,AE3,Data!$I12:$I341)</f>
      </c>
      <c r="AF4" s="90">
        <f>SUMIF(Data!$C12:$C341,AF3,Data!$I12:$I341)</f>
      </c>
      <c r="AG4" s="90">
        <f>SUMIF(Data!$C12:$C341,AG3,Data!$I12:$I341)</f>
      </c>
      <c r="AH4" s="90">
        <f>SUMIF(Data!$C12:$C341,AH3,Data!$I12:$I341)</f>
      </c>
      <c r="AI4" s="91">
        <f>SUMIF(Data!$C12:$C341,AI3,Data!$I12:$I341)</f>
      </c>
      <c r="AJ4" s="92">
        <f>SUMIF(Data!$C12:$C341,AJ3,Data!$I12:$I341)</f>
      </c>
      <c r="AK4" s="92">
        <f>SUMIF(Data!$C12:$C341,AK3,Data!$I12:$I341)</f>
      </c>
      <c r="AL4" s="92">
        <f>SUMIF(Data!$C12:$C341,AL3,Data!$I12:$I341)</f>
      </c>
      <c r="AM4" s="92">
        <f>SUMIF(Data!$C12:$C341,AM3,Data!$I12:$I341)</f>
      </c>
      <c r="AN4" s="92">
        <f>SUMIF(Data!$C12:$C341,AN3,Data!$I12:$I341)</f>
      </c>
      <c r="AO4" s="92">
        <f>SUMIF(Data!$C12:$C341,AO3,Data!$I12:$I341)</f>
      </c>
      <c r="AP4" s="92">
        <f>SUMIF(Data!$C12:$C341,AP3,Data!$I12:$I341)</f>
      </c>
      <c r="AQ4" s="92">
        <f>SUMIF(Data!$C12:$C341,AQ3,Data!$I12:$I341)</f>
      </c>
      <c r="AR4" s="92">
        <f>SUMIF(Data!$C12:$C341,AR3,Data!$I12:$I341)</f>
      </c>
      <c r="AS4" s="92">
        <f>SUMIF(Data!$C12:$C341,AS3,Data!$I12:$I341)</f>
      </c>
      <c r="AT4" s="92">
        <f>SUMIF(Data!$C12:$C341,AT3,Data!$I12:$I341)</f>
      </c>
      <c r="AU4" s="92">
        <f>SUMIF(Data!$C12:$C341,AU3,Data!$I12:$I341)</f>
      </c>
      <c r="AV4" s="92">
        <f>SUMIF(Data!$C12:$C341,AV3,Data!$I12:$I341)</f>
      </c>
      <c r="AW4" s="92">
        <f>SUMIF(Data!$C12:$C341,AW3,Data!$I12:$I341)</f>
      </c>
      <c r="AX4" s="92">
        <f>SUMIF(Data!$C12:$C341,AX3,Data!$I12:$I341)</f>
      </c>
      <c r="AY4" s="92">
        <f>SUMIF(Data!$C12:$C341,AY3,Data!$I12:$I341)</f>
      </c>
      <c r="AZ4" s="92">
        <f>SUMIF(Data!$C12:$C341,AZ3,Data!$I12:$I341)</f>
      </c>
      <c r="BA4" s="92">
        <f>SUMIF(Data!$C12:$C341,BA3,Data!$I12:$I341)</f>
      </c>
      <c r="BB4" s="92">
        <f>SUMIF(Data!$C12:$C341,BB3,Data!$I12:$I341)</f>
      </c>
    </row>
    <row x14ac:dyDescent="0.25" r="5" customHeight="1" ht="15.6">
      <c r="A5" s="85">
        <f>SUM(C5:BB5)</f>
      </c>
      <c r="B5" s="86" t="s">
        <v>141</v>
      </c>
      <c r="C5" s="85">
        <f>SUMIF(Data!$N12:$N341,C3,Data!$S12:$S341)</f>
      </c>
      <c r="D5" s="85">
        <f>SUMIF(Data!$N12:$N341,D3,Data!$S12:$S341)</f>
      </c>
      <c r="E5" s="85">
        <f>SUMIF(Data!$N12:$N341,E3,Data!$S12:$S341)</f>
      </c>
      <c r="F5" s="85">
        <f>SUMIF(Data!$N12:$N341,F3,Data!$S12:$S341)</f>
      </c>
      <c r="G5" s="85">
        <f>SUMIF(Data!$N12:$N341,G3,Data!$S12:$S341)</f>
      </c>
      <c r="H5" s="85">
        <f>SUMIF(Data!$N12:$N341,H3,Data!$S12:$S341)</f>
      </c>
      <c r="I5" s="85">
        <f>SUMIF(Data!$N12:$N341,I3,Data!$S12:$S341)</f>
      </c>
      <c r="J5" s="93">
        <f>SUMIF(Data!$N12:$N341,J3,Data!$S12:$S341)</f>
      </c>
      <c r="K5" s="85">
        <f>SUMIF(Data!$N12:$N341,K3,Data!$S12:$S341)</f>
      </c>
      <c r="L5" s="85">
        <f>SUMIF(Data!$N12:$N341,L3,Data!$S12:$S341)</f>
      </c>
      <c r="M5" s="85">
        <f>SUMIF(Data!$N12:$N341,M3,Data!$S12:$S341)</f>
      </c>
      <c r="N5" s="85">
        <f>SUMIF(Data!$N12:$N341,N3,Data!$S12:$S341)</f>
      </c>
      <c r="O5" s="85">
        <f>SUMIF(Data!$N12:$N341,O3,Data!$S12:$S341)</f>
      </c>
      <c r="P5" s="85">
        <f>SUMIF(Data!$N12:$N341,P3,Data!$S12:$S341)</f>
      </c>
      <c r="Q5" s="85">
        <f>SUMIF(Data!$N12:$N341,Q3,Data!$S12:$S341)</f>
      </c>
      <c r="R5" s="85">
        <f>SUMIF(Data!$N12:$N341,R3,Data!$S12:$S341)</f>
      </c>
      <c r="S5" s="85">
        <f>SUMIF(Data!$N12:$N341,S3,Data!$S12:$S341)</f>
      </c>
      <c r="T5" s="85">
        <f>SUMIF(Data!$N12:$N851,T3,Data!$S12:$S851)</f>
      </c>
      <c r="U5" s="85">
        <f>SUMIF(Data!$N12:$N851,U3,Data!$S12:$S851)</f>
      </c>
      <c r="V5" s="85">
        <f>SUMIF(Data!$N12:$N851,V3,Data!$S12:$S851)</f>
      </c>
      <c r="W5" s="85">
        <f>SUMIF(Data!$N12:$N851,W3,Data!$S12:$S851)</f>
      </c>
      <c r="X5" s="85">
        <f>SUMIF(Data!$N12:$N137,X3,Data!$S12:$S137)</f>
      </c>
      <c r="Y5" s="88">
        <f>SUMIF(Data!$N12:$N851,Y3,Data!$S12:$S851)</f>
      </c>
      <c r="Z5" s="88">
        <f>SUMIF(Data!$N12:$N851,Z3,Data!$S12:$S851)</f>
      </c>
      <c r="AA5" s="88">
        <f>SUMIF(Data!$N12:$N851,AA3,Data!$S12:$S851)</f>
      </c>
      <c r="AB5" s="88">
        <f>SUMIF(Data!$N12:$N851,AB3,Data!$S12:$S851)</f>
      </c>
      <c r="AC5" s="88">
        <f>SUMIF(Data!$N12:$N851,AC3,Data!$S12:$S851)</f>
      </c>
      <c r="AD5" s="88">
        <f>SUMIF(Data!$N12:$N851,AD3,Data!$S12:$S851)</f>
      </c>
      <c r="AE5" s="94">
        <f>SUMIF(Data!$N12:$N341,AE3,Data!$S12:$S341)</f>
      </c>
      <c r="AF5" s="90">
        <f>SUMIF(Data!$N12:$N341,AF3,Data!$S12:$S341)</f>
      </c>
      <c r="AG5" s="90">
        <f>SUMIF(Data!$N12:$N137,AG3,Data!$S12:$S137)</f>
      </c>
      <c r="AH5" s="90">
        <f>SUMIF(Data!$N12:$N341,AH3,Data!$S12:$S341)</f>
      </c>
      <c r="AI5" s="91">
        <f>SUMIF(Data!$N12:$N341,AI3,Data!$S12:$S341)</f>
      </c>
      <c r="AJ5" s="92">
        <f>SUMIF(Data!$N12:$N341,AJ3,Data!$S12:$S341)</f>
      </c>
      <c r="AK5" s="92">
        <f>SUMIF(Data!$N12:$N341,AK3,Data!$S12:$S341)</f>
      </c>
      <c r="AL5" s="92">
        <f>SUMIF(Data!$N12:$N341,AL3,Data!$S12:$S341)</f>
      </c>
      <c r="AM5" s="92">
        <f>SUMIF(Data!$N12:$N341,AM3,Data!$S12:$S341)</f>
      </c>
      <c r="AN5" s="92">
        <f>SUMIF(Data!$N12:$N341,AN3,Data!$S12:$S341)</f>
      </c>
      <c r="AO5" s="92">
        <f>SUMIF(Data!$N12:$N341,AO3,Data!$S12:$S341)</f>
      </c>
      <c r="AP5" s="92">
        <f>SUMIF(Data!$N12:$N341,AP3,Data!$S12:$S341)</f>
      </c>
      <c r="AQ5" s="92">
        <f>SUMIF(Data!$N12:$N341,AQ3,Data!$S12:$S341)</f>
      </c>
      <c r="AR5" s="92">
        <f>SUMIF(Data!$N12:$N341,AR3,Data!$S12:$S341)</f>
      </c>
      <c r="AS5" s="92">
        <f>SUMIF(Data!$N12:$N341,AS3,Data!$S12:$S341)</f>
      </c>
      <c r="AT5" s="92">
        <f>SUMIF(Data!$N12:$N341,AT3,Data!$S12:$S341)</f>
      </c>
      <c r="AU5" s="92">
        <f>SUMIF(Data!$N12:$N341,AU3,Data!$S12:$S341)</f>
      </c>
      <c r="AV5" s="92">
        <f>SUMIF(Data!$N12:$N341,AV3,Data!$S12:$S341)</f>
      </c>
      <c r="AW5" s="92">
        <f>SUMIF(Data!$N12:$N341,AW3,Data!$S12:$S341)</f>
      </c>
      <c r="AX5" s="92">
        <f>SUMIF(Data!$N12:$N341,AX3,Data!$S12:$S341)</f>
      </c>
      <c r="AY5" s="92">
        <f>SUMIF(Data!$N12:$N341,AY3,Data!$S12:$S341)</f>
      </c>
      <c r="AZ5" s="92">
        <f>SUMIF(Data!$N12:$N341,AZ3,Data!$S12:$S341)</f>
      </c>
      <c r="BA5" s="92">
        <f>SUMIF(Data!$N12:$N341,BA3,Data!$S12:$S341)</f>
      </c>
      <c r="BB5" s="92">
        <f>SUMIF(Data!$N12:$N341,BB3,Data!$S12:$S341)</f>
      </c>
    </row>
    <row x14ac:dyDescent="0.25" r="6" customHeight="1" ht="15.6">
      <c r="A6" s="95">
        <f>SUM(C6:BB6)</f>
      </c>
      <c r="B6" s="77" t="s">
        <v>142</v>
      </c>
      <c r="C6" s="95">
        <f>SUMIF(Data!$X12:$X341,C3,Data!$AD12:$AD341)-SUMIFS(Data!$AD$12:$AD$341,Data!$X$12:$X$341,C3,Data!$R$12:$R$341,"2017-074")</f>
      </c>
      <c r="D6" s="95">
        <f>SUMIF(Data!$X12:$X341,D3,Data!$AD12:$AD341)-SUMIFS(Data!$AD$12:$AD$341,Data!$X$12:$X$341,D3,Data!$R$12:$R$341,"2017-074")</f>
      </c>
      <c r="E6" s="95">
        <f>SUMIF(Data!$X12:$X341,E3,Data!$AD12:$AD341)-SUMIFS(Data!$AD$12:$AD$341,Data!$X$12:$X$341,E3,Data!$R$12:$R$341,"2017-074")</f>
      </c>
      <c r="F6" s="96">
        <f>SUMIF(Data!$X12:$X341,F3,Data!$AD12:$AD341)-SUMIFS(Data!$AD$12:$AD$341,Data!$X$12:$X$341,F3,Data!$R$12:$R$341,"2017-074")</f>
      </c>
      <c r="G6" s="95">
        <f>SUMIF(Data!$X12:$X341,G3,Data!$AD12:$AD341)-SUMIFS(Data!$AD$12:$AD$341,Data!$X$12:$X$341,G3,Data!$R$12:$R$341,"2017-074")</f>
      </c>
      <c r="H6" s="95">
        <f>SUMIF(Data!$X12:$X341,H3,Data!$AD12:$AD341)-SUMIFS(Data!$AD$12:$AD$341,Data!$X$12:$X$341,H3,Data!$R$12:$R$341,"2017-074")</f>
      </c>
      <c r="I6" s="95">
        <f>SUMIF(Data!$X12:$X341,I3,Data!$AD12:$AD341)-SUMIFS(Data!$AD$12:$AD$341,Data!$X$12:$X$341,I3,Data!$R$12:$R$341,"2017-074")</f>
      </c>
      <c r="J6" s="95">
        <f>SUMIF(Data!$X12:$X341,J3,Data!$AD12:$AD341)-SUMIFS(Data!$AD$12:$AD$341,Data!$X$12:$X$341,J3,Data!$R$12:$R$341,"2017-074")</f>
      </c>
      <c r="K6" s="95">
        <f>SUMIF(Data!$X12:$X341,K3,Data!$AD12:$AD341)-SUMIFS(Data!$AD$12:$AD$341,Data!$X$12:$X$341,K3,Data!$R$12:$R$341,"2017-074")</f>
      </c>
      <c r="L6" s="95">
        <f>SUMIF(Data!$X12:$X341,L3,Data!$AD12:$AD341)-SUMIFS(Data!$AD$12:$AD$341,Data!$X$12:$X$341,L3,Data!$R$12:$R$341,"2017-074")</f>
      </c>
      <c r="M6" s="95">
        <f>SUMIF(Data!$X12:$X341,M3,Data!$AD12:$AD341)-SUMIFS(Data!$AD$12:$AD$341,Data!$X$12:$X$341,M3,Data!$R$12:$R$341,"2017-074")</f>
      </c>
      <c r="N6" s="96">
        <f>SUMIF(Data!$X12:$X341,N3,Data!$AD12:$AD341)-SUMIFS(Data!$AD$12:$AD$341,Data!$X$12:$X$341,N3,Data!$R$12:$R$341,"2017-074")</f>
      </c>
      <c r="O6" s="95">
        <f>SUMIF(Data!$X12:$X341,O3,Data!$AD12:$AD341)-SUMIFS(Data!$AD$12:$AD$341,Data!$X$12:$X$341,O3,Data!$R$12:$R$341,"2017-074")</f>
      </c>
      <c r="P6" s="95">
        <f>SUMIF(Data!$X12:$X341,P3,Data!$AD12:$AD341)-SUMIFS(Data!$AD$12:$AD$341,Data!$X$12:$X$341,P3,Data!$R$12:$R$341,"2017-074")</f>
      </c>
      <c r="Q6" s="95">
        <f>SUMIF(Data!$X12:$X341,Q3,Data!$AD12:$AD341)-SUMIFS(Data!$AD$12:$AD$341,Data!$X$12:$X$341,Q3,Data!$R$12:$R$341,"2017-074")</f>
      </c>
      <c r="R6" s="95">
        <f>SUMIF(Data!$X12:$X341,R3,Data!$AD12:$AD341)-SUMIFS(Data!$AD$12:$AD$341,Data!$X$12:$X$341,R3,Data!$R$12:$R$341,"2017-074")</f>
      </c>
      <c r="S6" s="95">
        <f>SUMIF(Data!$X12:$X341,S3,Data!$AD12:$AD341)-SUMIFS(Data!$AD$12:$AD$341,Data!$X$12:$X$341,S3,Data!$R$12:$R$341,"2017-074")</f>
      </c>
      <c r="T6" s="95">
        <f>SUMIF(Data!$X12:$X341,T3,Data!$AD12:$AD341)-SUMIFS(Data!$AD$12:$AD$341,Data!$X$12:$X$341,T3,Data!$R$12:$R$341,"2017-074")</f>
      </c>
      <c r="U6" s="95">
        <f>SUMIF(Data!$X12:$X341,U3,Data!$AD12:$AD341)-SUMIFS(Data!$AD$12:$AD$341,Data!$X$12:$X$341,U3,Data!$R$12:$R$341,"2017-074")</f>
      </c>
      <c r="V6" s="96">
        <f>SUMIF(Data!$X12:$X851,V3,Data!$AD12:$AD851)-SUMIFS(Data!$AD$12:$AD$341,Data!$X$12:$X$341,V3,Data!$R$12:$R$341,"2017-074")</f>
      </c>
      <c r="W6" s="95">
        <f>SUMIF(Data!$X12:$X851,W3,Data!$AD12:$AD851)-SUMIFS(Data!$AD$12:$AD$341,Data!$X$12:$X$341,W3,Data!$R$12:$R$341,"2017-074")</f>
      </c>
      <c r="X6" s="95">
        <f>SUMIF(Data!$X12:$X341,X3,Data!$AD12:$AD341)-SUMIFS(Data!$AD$12:$AD$341,Data!$X$12:$X$341,X3,Data!$R$12:$R$341,"2017-074")</f>
      </c>
      <c r="Y6" s="97">
        <f>SUMIF(Data!$X12:$X851,Y3,Data!$AD12:$AD851)-SUMIFS(Data!$AD$12:$AD$341,Data!$X$12:$X$341,Y3,Data!$R$12:$R$341,"2017-074")</f>
      </c>
      <c r="Z6" s="97">
        <f>SUMIF(Data!$X12:$X851,Z3,Data!$AD12:$AD851)-SUMIFS(Data!$AD$12:$AD$341,Data!$X$12:$X$341,Z3,Data!$R$12:$R$341,"2017-074")</f>
      </c>
      <c r="AA6" s="97">
        <f>SUMIF(Data!$X12:$X851,AA3,Data!$AD12:$AD851)-SUMIFS(Data!$AD$12:$AD$341,Data!$X$12:$X$341,AA3,Data!$R$12:$R$341,"2017-074")</f>
      </c>
      <c r="AB6" s="97">
        <f>SUMIF(Data!$X12:$X851,AB3,Data!$AD12:$AD851)-SUMIFS(Data!$AD$12:$AD$341,Data!$X$12:$X$341,AB3,Data!$R$12:$R$341,"2017-074")</f>
      </c>
      <c r="AC6" s="97">
        <f>SUMIF(Data!$X12:$X851,AC3,Data!$AD12:$AD851)-SUMIFS(Data!$AD$12:$AD$341,Data!$X$12:$X$341,AC3,Data!$R$12:$R$341,"2017-074")</f>
      </c>
      <c r="AD6" s="97">
        <f>SUMIF(Data!$X12:$X851,AD3,Data!$AD12:$AD851)-SUMIFS(Data!$AD$12:$AD$341,Data!$X$12:$X$341,AD3,Data!$R$12:$R$341,"2017-074")</f>
      </c>
      <c r="AE6" s="98">
        <f>SUMIF(Data!$X12:$X341,AE3,Data!$AD12:$AD341)-SUMIFS(Data!$AD$12:$AD$341,Data!$X$12:$X$341,AE3,Data!$R$12:$R$341,"2017-074")</f>
      </c>
      <c r="AF6" s="99">
        <f>SUMIF(Data!$X12:$X341,AF3,Data!$AD12:$AD341)-SUMIFS(Data!$AD$12:$AD$341,Data!$X$12:$X$341,AF3,Data!$R$12:$R$341,"2017-074")</f>
      </c>
      <c r="AG6" s="99">
        <f>SUMIF(Data!$X12:$X341,AG3,Data!$AD12:$AD341)-SUMIFS(Data!$AD$12:$AD$341,Data!$X$12:$X$341,AG3,Data!$R$12:$R$341,"2017-074")</f>
      </c>
      <c r="AH6" s="99">
        <f>SUMIF(Data!$X12:$X341,AH3,Data!$AD12:$AD341)-SUMIFS(Data!$AD$12:$AD$341,Data!$X$12:$X$341,AH3,Data!$R$12:$R$341,"2017-074")</f>
      </c>
      <c r="AI6" s="100">
        <f>SUMIF(Data!$X12:$X341,AI3,Data!$AD12:$AD341)-SUMIFS(Data!$AD$12:$AD$341,Data!$X$12:$X$341,AI3,Data!$R$12:$R$341,"2017-074")</f>
      </c>
      <c r="AJ6" s="101">
        <f>SUMIF(Data!$X12:$X341,AJ3,Data!$AD12:$AD341)-SUMIFS(Data!$AD$12:$AD$341,Data!$X$12:$X$341,AJ3,Data!$R$12:$R$341,"2017-074")</f>
      </c>
      <c r="AK6" s="101">
        <f>SUMIF(Data!$X12:$X341,AK3,Data!$AD12:$AD341)-SUMIFS(Data!$AD$12:$AD$341,Data!$X$12:$X$341,AK3,Data!$R$12:$R$341,"2017-074")</f>
      </c>
      <c r="AL6" s="101">
        <f>SUMIF(Data!$X12:$X341,AL3,Data!$AD12:$AD341)-SUMIFS(Data!$AD$12:$AD$341,Data!$X$12:$X$341,AL3,Data!$R$12:$R$341,"2017-074")</f>
      </c>
      <c r="AM6" s="101">
        <f>SUMIF(Data!$X12:$X341,AM3,Data!$AD12:$AD341)-SUMIFS(Data!$AD$12:$AD$341,Data!$X$12:$X$341,AM3,Data!$R$12:$R$341,"2017-074")</f>
      </c>
      <c r="AN6" s="101">
        <f>SUMIF(Data!$X12:$X341,AN3,Data!$AD12:$AD341)-SUMIFS(Data!$AD$12:$AD$341,Data!$X$12:$X$341,AN3,Data!$R$12:$R$341,"2017-074")</f>
      </c>
      <c r="AO6" s="101">
        <f>SUMIF(Data!$X12:$X341,AO3,Data!$AD12:$AD341)-SUMIFS(Data!$AD$12:$AD$341,Data!$X$12:$X$341,AO3,Data!$R$12:$R$341,"2017-074")</f>
      </c>
      <c r="AP6" s="101">
        <f>SUMIF(Data!$X12:$X341,AP3,Data!$AD12:$AD341)-SUMIFS(Data!$AD$12:$AD$341,Data!$X$12:$X$341,AP3,Data!$R$12:$R$341,"2017-074")</f>
      </c>
      <c r="AQ6" s="101">
        <f>SUMIF(Data!$X12:$X341,AQ3,Data!$AD12:$AD341)-SUMIFS(Data!$AD$12:$AD$341,Data!$X$12:$X$341,AQ3,Data!$R$12:$R$341,"2017-074")</f>
      </c>
      <c r="AR6" s="101">
        <f>SUMIF(Data!$X12:$X341,AR3,Data!$AD12:$AD341)-SUMIFS(Data!$AD$12:$AD$341,Data!$X$12:$X$341,AR3,Data!$R$12:$R$341,"2017-074")</f>
      </c>
      <c r="AS6" s="101">
        <f>SUMIF(Data!$X12:$X341,AS3,Data!$AD12:$AD341)-SUMIFS(Data!$AD$12:$AD$341,Data!$X$12:$X$341,AS3,Data!$R$12:$R$341,"2017-074")</f>
      </c>
      <c r="AT6" s="101">
        <f>SUMIF(Data!$X12:$X341,AT3,Data!$AD12:$AD341)-SUMIFS(Data!$AD$12:$AD$341,Data!$X$12:$X$341,AT3,Data!$R$12:$R$341,"2017-074")</f>
      </c>
      <c r="AU6" s="101">
        <f>SUMIF(Data!$X12:$X341,AU3,Data!$AD12:$AD341)-SUMIFS(Data!$AD$12:$AD$341,Data!$X$12:$X$341,AU3,Data!$R$12:$R$341,"2017-074")</f>
      </c>
      <c r="AV6" s="101">
        <f>SUMIF(Data!$X12:$X341,AV3,Data!$AD12:$AD341)-SUMIFS(Data!$AD$12:$AD$341,Data!$X$12:$X$341,AV3,Data!$R$12:$R$341,"2017-074")</f>
      </c>
      <c r="AW6" s="101">
        <f>SUMIF(Data!$X12:$X341,AW3,Data!$AD12:$AD341)-SUMIFS(Data!$AD$12:$AD$341,Data!$X$12:$X$341,AW3,Data!$R$12:$R$341,"2017-074")</f>
      </c>
      <c r="AX6" s="101">
        <f>SUMIF(Data!$X12:$X341,AX3,Data!$AD12:$AD341)-SUMIFS(Data!$AD$12:$AD$341,Data!$X$12:$X$341,AX3,Data!$R$12:$R$341,"2017-074")</f>
      </c>
      <c r="AY6" s="101">
        <f>SUMIF(Data!$X12:$X341,AY3,Data!$AD12:$AD341)-SUMIFS(Data!$AD$12:$AD$341,Data!$X$12:$X$341,AY3,Data!$R$12:$R$341,"2017-074")</f>
      </c>
      <c r="AZ6" s="101">
        <f>SUMIF(Data!$X12:$X341,AZ3,Data!$AD12:$AD341)-SUMIFS(Data!$AD$12:$AD$341,Data!$X$12:$X$341,AZ3,Data!$R$12:$R$341,"2017-074")</f>
      </c>
      <c r="BA6" s="101">
        <f>SUMIF(Data!$X12:$X341,BA3,Data!$AD12:$AD341)-SUMIFS(Data!$AD$12:$AD$341,Data!$X$12:$X$341,BA3,Data!$R$12:$R$341,"2017-074")</f>
      </c>
      <c r="BB6" s="101">
        <f>SUMIF(Data!$X12:$X341,BB3,Data!$AD12:$AD341)-SUMIFS(Data!$AD$12:$AD$341,Data!$X$12:$X$341,BB3,Data!$R$12:$R$341,"2017-074")</f>
      </c>
    </row>
    <row x14ac:dyDescent="0.25" r="7" customHeight="1" ht="15.6">
      <c r="A7" s="3"/>
      <c r="B7" s="86" t="s">
        <v>143</v>
      </c>
      <c r="C7" s="85">
        <f>'Weekly Data'!C5</f>
      </c>
      <c r="D7" s="85">
        <f>'Weekly Data'!D5</f>
      </c>
      <c r="E7" s="85">
        <f>'Weekly Data'!E5</f>
      </c>
      <c r="F7" s="85">
        <f>'Weekly Data'!F5</f>
      </c>
      <c r="G7" s="85">
        <f>'Weekly Data'!G5</f>
      </c>
      <c r="H7" s="85">
        <f>'Weekly Data'!H5</f>
      </c>
      <c r="I7" s="85">
        <f>'Weekly Data'!I5</f>
      </c>
      <c r="J7" s="85">
        <f>'Weekly Data'!J5</f>
      </c>
      <c r="K7" s="85">
        <f>'Weekly Data'!K5</f>
      </c>
      <c r="L7" s="85">
        <f>'Weekly Data'!L5</f>
      </c>
      <c r="M7" s="85">
        <f>'Weekly Data'!M5</f>
      </c>
      <c r="N7" s="85">
        <f>'Weekly Data'!N5</f>
      </c>
      <c r="O7" s="85">
        <f>'Weekly Data'!O5</f>
      </c>
      <c r="P7" s="85">
        <f>'Weekly Data'!P5</f>
      </c>
      <c r="Q7" s="85">
        <f>'Weekly Data'!Q5</f>
      </c>
      <c r="R7" s="85">
        <f>'Weekly Data'!R5</f>
      </c>
      <c r="S7" s="85">
        <f>'Weekly Data'!S5</f>
      </c>
      <c r="T7" s="85">
        <f>'Weekly Data'!T5</f>
      </c>
      <c r="U7" s="85">
        <f>'Weekly Data'!U5</f>
      </c>
      <c r="V7" s="85">
        <f>'Weekly Data'!V5</f>
      </c>
      <c r="W7" s="85">
        <f>'Weekly Data'!W5</f>
      </c>
      <c r="X7" s="85">
        <f>'Weekly Data'!X5</f>
      </c>
      <c r="Y7" s="85">
        <f>'Weekly Data'!Y5</f>
      </c>
      <c r="Z7" s="85">
        <f>'Weekly Data'!Z5</f>
      </c>
      <c r="AA7" s="85">
        <f>'Weekly Data'!AA5</f>
      </c>
      <c r="AB7" s="85">
        <f>'Weekly Data'!AB5</f>
      </c>
      <c r="AC7" s="85">
        <f>'Weekly Data'!AC5</f>
      </c>
      <c r="AD7" s="85">
        <f>'Weekly Data'!AD5</f>
      </c>
      <c r="AE7" s="85">
        <f>'Weekly Data'!AE5</f>
      </c>
      <c r="AF7" s="85">
        <f>'Weekly Data'!AF5</f>
      </c>
      <c r="AG7" s="85">
        <f>'Weekly Data'!AG5</f>
      </c>
      <c r="AH7" s="85">
        <f>'Weekly Data'!AH5</f>
      </c>
      <c r="AI7" s="85">
        <f>'Weekly Data'!AI5</f>
      </c>
      <c r="AJ7" s="85">
        <f>'Weekly Data'!AJ5</f>
      </c>
      <c r="AK7" s="85">
        <f>'Weekly Data'!AK5</f>
      </c>
      <c r="AL7" s="85">
        <f>'Weekly Data'!AL5</f>
      </c>
      <c r="AM7" s="85">
        <f>'Weekly Data'!AM5</f>
      </c>
      <c r="AN7" s="85">
        <f>'Weekly Data'!AN5</f>
      </c>
      <c r="AO7" s="85">
        <f>'Weekly Data'!AO5</f>
      </c>
      <c r="AP7" s="85">
        <f>'Weekly Data'!AP5</f>
      </c>
      <c r="AQ7" s="85">
        <f>'Weekly Data'!AQ5</f>
      </c>
      <c r="AR7" s="85">
        <f>'Weekly Data'!AR5</f>
      </c>
      <c r="AS7" s="85">
        <f>'Weekly Data'!AS5</f>
      </c>
      <c r="AT7" s="85">
        <f>'Weekly Data'!AT5</f>
      </c>
      <c r="AU7" s="85">
        <f>'Weekly Data'!AU5</f>
      </c>
      <c r="AV7" s="85">
        <f>'Weekly Data'!AV5</f>
      </c>
      <c r="AW7" s="85">
        <f>'Weekly Data'!AW5</f>
      </c>
      <c r="AX7" s="85">
        <f>'Weekly Data'!AX5</f>
      </c>
      <c r="AY7" s="85">
        <f>'Weekly Data'!AY5</f>
      </c>
      <c r="AZ7" s="85">
        <f>'Weekly Data'!AZ5</f>
      </c>
      <c r="BA7" s="85">
        <f>'Weekly Data'!BA5</f>
      </c>
      <c r="BB7" s="85">
        <f>'Weekly Data'!BB5</f>
      </c>
    </row>
    <row x14ac:dyDescent="0.25" r="8" customHeight="1" ht="15.6">
      <c r="A8" s="3"/>
      <c r="B8" s="86" t="s">
        <v>144</v>
      </c>
      <c r="C8" s="85">
        <f>'Weekly Data'!C6</f>
      </c>
      <c r="D8" s="85">
        <f>'Weekly Data'!D6</f>
      </c>
      <c r="E8" s="85">
        <f>'Weekly Data'!E6</f>
      </c>
      <c r="F8" s="85">
        <f>'Weekly Data'!F6</f>
      </c>
      <c r="G8" s="85">
        <f>'Weekly Data'!G6</f>
      </c>
      <c r="H8" s="85">
        <f>'Weekly Data'!H6</f>
      </c>
      <c r="I8" s="85">
        <f>'Weekly Data'!I6</f>
      </c>
      <c r="J8" s="85">
        <f>'Weekly Data'!J6</f>
      </c>
      <c r="K8" s="85">
        <f>'Weekly Data'!K6</f>
      </c>
      <c r="L8" s="85">
        <f>'Weekly Data'!L6</f>
      </c>
      <c r="M8" s="85">
        <f>'Weekly Data'!M6</f>
      </c>
      <c r="N8" s="85">
        <f>'Weekly Data'!N6</f>
      </c>
      <c r="O8" s="85">
        <f>'Weekly Data'!O6</f>
      </c>
      <c r="P8" s="85">
        <f>'Weekly Data'!P6</f>
      </c>
      <c r="Q8" s="85">
        <f>'Weekly Data'!Q6</f>
      </c>
      <c r="R8" s="85">
        <f>'Weekly Data'!R6</f>
      </c>
      <c r="S8" s="85">
        <f>'Weekly Data'!S6</f>
      </c>
      <c r="T8" s="85">
        <f>'Weekly Data'!T6</f>
      </c>
      <c r="U8" s="85">
        <f>'Weekly Data'!U6</f>
      </c>
      <c r="V8" s="85">
        <f>'Weekly Data'!V6</f>
      </c>
      <c r="W8" s="85">
        <f>'Weekly Data'!W6</f>
      </c>
      <c r="X8" s="85">
        <f>'Weekly Data'!X6</f>
      </c>
      <c r="Y8" s="85">
        <f>'Weekly Data'!Y6</f>
      </c>
      <c r="Z8" s="85">
        <f>'Weekly Data'!Z6</f>
      </c>
      <c r="AA8" s="85">
        <f>'Weekly Data'!AA6</f>
      </c>
      <c r="AB8" s="85">
        <f>'Weekly Data'!AB6</f>
      </c>
      <c r="AC8" s="85">
        <f>'Weekly Data'!AC6</f>
      </c>
      <c r="AD8" s="85">
        <f>'Weekly Data'!AD6</f>
      </c>
      <c r="AE8" s="85">
        <f>'Weekly Data'!AE6</f>
      </c>
      <c r="AF8" s="85">
        <f>'Weekly Data'!AF6</f>
      </c>
      <c r="AG8" s="85">
        <f>'Weekly Data'!AG6</f>
      </c>
      <c r="AH8" s="85">
        <f>'Weekly Data'!AH6</f>
      </c>
      <c r="AI8" s="85">
        <f>'Weekly Data'!AI6</f>
      </c>
      <c r="AJ8" s="85">
        <f>'Weekly Data'!AJ6</f>
      </c>
      <c r="AK8" s="85">
        <f>'Weekly Data'!AK6</f>
      </c>
      <c r="AL8" s="85">
        <f>'Weekly Data'!AL6</f>
      </c>
      <c r="AM8" s="85">
        <f>'Weekly Data'!AM6</f>
      </c>
      <c r="AN8" s="85">
        <f>'Weekly Data'!AN6</f>
      </c>
      <c r="AO8" s="85">
        <f>'Weekly Data'!AO6</f>
      </c>
      <c r="AP8" s="85">
        <f>'Weekly Data'!AP6</f>
      </c>
      <c r="AQ8" s="85">
        <f>'Weekly Data'!AQ6</f>
      </c>
      <c r="AR8" s="85">
        <f>'Weekly Data'!AR6</f>
      </c>
      <c r="AS8" s="85">
        <f>'Weekly Data'!AS6</f>
      </c>
      <c r="AT8" s="85">
        <f>'Weekly Data'!AT6</f>
      </c>
      <c r="AU8" s="85">
        <f>'Weekly Data'!AU6</f>
      </c>
      <c r="AV8" s="85">
        <f>'Weekly Data'!AV6</f>
      </c>
      <c r="AW8" s="85">
        <f>'Weekly Data'!AW6</f>
      </c>
      <c r="AX8" s="85">
        <f>'Weekly Data'!AX6</f>
      </c>
      <c r="AY8" s="85">
        <f>'Weekly Data'!AY6</f>
      </c>
      <c r="AZ8" s="85">
        <f>'Weekly Data'!AZ6</f>
      </c>
      <c r="BA8" s="85">
        <f>'Weekly Data'!BA6</f>
      </c>
      <c r="BB8" s="85">
        <f>'Weekly Data'!BB6</f>
      </c>
    </row>
    <row x14ac:dyDescent="0.25" r="9" customHeight="1" ht="15.6">
      <c r="A9" s="3"/>
      <c r="B9" s="86" t="s">
        <v>145</v>
      </c>
      <c r="C9" s="85">
        <f>C5-C7</f>
      </c>
      <c r="D9" s="85">
        <f>D5-D7</f>
      </c>
      <c r="E9" s="85">
        <f>E5-E7</f>
      </c>
      <c r="F9" s="85">
        <f>F5-F7</f>
      </c>
      <c r="G9" s="85">
        <f>G5-G7</f>
      </c>
      <c r="H9" s="85">
        <f>H5-H7</f>
      </c>
      <c r="I9" s="85">
        <f>I5-I7</f>
      </c>
      <c r="J9" s="85">
        <f>J5-J7</f>
      </c>
      <c r="K9" s="85">
        <f>K5-K7</f>
      </c>
      <c r="L9" s="85">
        <f>L5-L7</f>
      </c>
      <c r="M9" s="85">
        <f>M5-M7</f>
      </c>
      <c r="N9" s="85">
        <f>N5-N7</f>
      </c>
      <c r="O9" s="85">
        <f>O5-O7</f>
      </c>
      <c r="P9" s="85">
        <f>P5-P7</f>
      </c>
      <c r="Q9" s="85">
        <f>Q5-Q7</f>
      </c>
      <c r="R9" s="85">
        <f>R5-R7</f>
      </c>
      <c r="S9" s="85">
        <f>S5-S7</f>
      </c>
      <c r="T9" s="85">
        <f>T5-T7</f>
      </c>
      <c r="U9" s="85">
        <f>U5-U7</f>
      </c>
      <c r="V9" s="85">
        <f>V5-V7</f>
      </c>
      <c r="W9" s="85">
        <f>W5-W7</f>
      </c>
      <c r="X9" s="85">
        <f>X5-X7</f>
      </c>
      <c r="Y9" s="85">
        <f>Y5-Y7</f>
      </c>
      <c r="Z9" s="85">
        <f>Z5-Z7</f>
      </c>
      <c r="AA9" s="85">
        <f>AA5-AA7</f>
      </c>
      <c r="AB9" s="85">
        <f>AB5-AB7</f>
      </c>
      <c r="AC9" s="85">
        <f>AC5-AC7</f>
      </c>
      <c r="AD9" s="102">
        <f>AD5-AD7</f>
      </c>
      <c r="AE9" s="85">
        <f>AE5-AE7</f>
      </c>
      <c r="AF9" s="85">
        <f>AF5-AF7</f>
      </c>
      <c r="AG9" s="85">
        <f>AG5-AG7</f>
      </c>
      <c r="AH9" s="85">
        <f>AH5-AH7</f>
      </c>
      <c r="AI9" s="85">
        <f>AI5-AI7</f>
      </c>
      <c r="AJ9" s="85">
        <f>AJ5-AJ7</f>
      </c>
      <c r="AK9" s="85">
        <f>AK5-AK7</f>
      </c>
      <c r="AL9" s="85">
        <f>AL5-AL7</f>
      </c>
      <c r="AM9" s="85">
        <f>AM5-AM7</f>
      </c>
      <c r="AN9" s="85">
        <f>AN5-AN7</f>
      </c>
      <c r="AO9" s="85">
        <f>AO5-AO7</f>
      </c>
      <c r="AP9" s="85">
        <f>AP5-AP7</f>
      </c>
      <c r="AQ9" s="85">
        <f>AQ5-AQ7</f>
      </c>
      <c r="AR9" s="85">
        <f>AR5-AR7</f>
      </c>
      <c r="AS9" s="85">
        <f>AS5-AS7</f>
      </c>
      <c r="AT9" s="85">
        <f>AT5-AT7</f>
      </c>
      <c r="AU9" s="85">
        <f>AU5-AU7</f>
      </c>
      <c r="AV9" s="85">
        <f>AV5-AV7</f>
      </c>
      <c r="AW9" s="3"/>
      <c r="AX9" s="3"/>
      <c r="AY9" s="3"/>
      <c r="AZ9" s="3"/>
      <c r="BA9" s="3"/>
      <c r="BB9" s="3"/>
    </row>
    <row x14ac:dyDescent="0.25" r="10" customHeight="1" ht="15.6">
      <c r="A10" s="3"/>
      <c r="B10" s="86" t="s">
        <v>146</v>
      </c>
      <c r="C10" s="85">
        <f>C4</f>
      </c>
      <c r="D10" s="85">
        <f>D4+C10</f>
      </c>
      <c r="E10" s="85">
        <f>E4+D10</f>
      </c>
      <c r="F10" s="85">
        <f>F4+E10</f>
      </c>
      <c r="G10" s="85">
        <f>G4+F10</f>
      </c>
      <c r="H10" s="85">
        <f>H4+G10</f>
      </c>
      <c r="I10" s="85">
        <f>I4+H10</f>
      </c>
      <c r="J10" s="85">
        <f>J4+I10</f>
      </c>
      <c r="K10" s="85">
        <f>K4+J10</f>
      </c>
      <c r="L10" s="85">
        <f>L4+K10</f>
      </c>
      <c r="M10" s="85">
        <f>M4+L10</f>
      </c>
      <c r="N10" s="85">
        <f>N4+M10</f>
      </c>
      <c r="O10" s="85">
        <f>O4+N10</f>
      </c>
      <c r="P10" s="85">
        <f>P4+O10</f>
      </c>
      <c r="Q10" s="85">
        <f>Q4+P10</f>
      </c>
      <c r="R10" s="85">
        <f>R4+Q10</f>
      </c>
      <c r="S10" s="85">
        <f>S4+R10</f>
      </c>
      <c r="T10" s="85">
        <f>T4+S10</f>
      </c>
      <c r="U10" s="85">
        <f>U4+T10</f>
      </c>
      <c r="V10" s="85">
        <f>V4+U10</f>
      </c>
      <c r="W10" s="85">
        <f>W4+V10</f>
      </c>
      <c r="X10" s="85">
        <f>X4+W10</f>
      </c>
      <c r="Y10" s="85">
        <f>Y4+X10</f>
      </c>
      <c r="Z10" s="85">
        <f>Z4+Y10</f>
      </c>
      <c r="AA10" s="85">
        <f>AA4+Z10</f>
      </c>
      <c r="AB10" s="85">
        <f>AB4+AA10</f>
      </c>
      <c r="AC10" s="85">
        <f>AC4+AB10</f>
      </c>
      <c r="AD10" s="102">
        <f>AD4+AC10</f>
      </c>
      <c r="AE10" s="85">
        <f>AE4+AD10</f>
      </c>
      <c r="AF10" s="85">
        <f>AF4+AE10</f>
      </c>
      <c r="AG10" s="85">
        <f>AG4+AF10</f>
      </c>
      <c r="AH10" s="85">
        <f>AH4+AG10</f>
      </c>
      <c r="AI10" s="85">
        <f>AI4+AH10</f>
      </c>
      <c r="AJ10" s="85">
        <f>AJ4+AI10</f>
      </c>
      <c r="AK10" s="85">
        <f>AK4+AJ10</f>
      </c>
      <c r="AL10" s="85">
        <f>AL4+AK10</f>
      </c>
      <c r="AM10" s="85">
        <f>AM4+AL10</f>
      </c>
      <c r="AN10" s="85">
        <f>AN4+AM10</f>
      </c>
      <c r="AO10" s="85">
        <f>AO4+AN10</f>
      </c>
      <c r="AP10" s="85">
        <f>AP4+AO10</f>
      </c>
      <c r="AQ10" s="85">
        <f>AQ4+AP10</f>
      </c>
      <c r="AR10" s="85">
        <f>AR4+AQ10</f>
      </c>
      <c r="AS10" s="85">
        <f>AS4+AR10</f>
      </c>
      <c r="AT10" s="85">
        <f>AT4+AS10</f>
      </c>
      <c r="AU10" s="85">
        <f>AU4+AT10</f>
      </c>
      <c r="AV10" s="85">
        <f>AV4+AU10</f>
      </c>
      <c r="AW10" s="3"/>
      <c r="AX10" s="3"/>
      <c r="AY10" s="3"/>
      <c r="AZ10" s="3"/>
      <c r="BA10" s="3"/>
      <c r="BB10" s="3"/>
    </row>
    <row x14ac:dyDescent="0.25" r="11" customHeight="1" ht="15.6">
      <c r="A11" s="3"/>
      <c r="B11" s="86" t="s">
        <v>147</v>
      </c>
      <c r="C11" s="85">
        <f>C5</f>
      </c>
      <c r="D11" s="85">
        <f>D5+C11</f>
      </c>
      <c r="E11" s="85">
        <f>E5+D11</f>
      </c>
      <c r="F11" s="85">
        <f>F5+E11</f>
      </c>
      <c r="G11" s="85">
        <f>G5+F11</f>
      </c>
      <c r="H11" s="85">
        <f>H5+G11</f>
      </c>
      <c r="I11" s="85">
        <f>I5+H11</f>
      </c>
      <c r="J11" s="85">
        <f>J5+I11</f>
      </c>
      <c r="K11" s="85">
        <f>K5+J11</f>
      </c>
      <c r="L11" s="85">
        <f>L5+K11</f>
      </c>
      <c r="M11" s="85">
        <f>M5+L11</f>
      </c>
      <c r="N11" s="85">
        <f>N5+M11</f>
      </c>
      <c r="O11" s="85">
        <f>O5+N11</f>
      </c>
      <c r="P11" s="85">
        <f>P5+O11</f>
      </c>
      <c r="Q11" s="85">
        <f>Q5+P11</f>
      </c>
      <c r="R11" s="85">
        <f>R5+Q11</f>
      </c>
      <c r="S11" s="85">
        <f>S5+R11</f>
      </c>
      <c r="T11" s="85">
        <f>T5+S11</f>
      </c>
      <c r="U11" s="85">
        <f>U5+T11</f>
      </c>
      <c r="V11" s="85">
        <f>V5+U11</f>
      </c>
      <c r="W11" s="85">
        <f>W5+V11</f>
      </c>
      <c r="X11" s="85">
        <f>X5+W11</f>
      </c>
      <c r="Y11" s="85">
        <f>Y5+X11</f>
      </c>
      <c r="Z11" s="85">
        <f>Z5+Y11</f>
      </c>
      <c r="AA11" s="85">
        <f>AA5+Z11</f>
      </c>
      <c r="AB11" s="85">
        <f>AB5+AA11</f>
      </c>
      <c r="AC11" s="85">
        <f>AC5+AB11</f>
      </c>
      <c r="AD11" s="102">
        <f>AD5+AC11</f>
      </c>
      <c r="AE11" s="85">
        <f>AE5+AD11</f>
      </c>
      <c r="AF11" s="85">
        <f>AF5+AE11</f>
      </c>
      <c r="AG11" s="85">
        <f>AG5+AF11</f>
      </c>
      <c r="AH11" s="85">
        <f>AH5+AG11</f>
      </c>
      <c r="AI11" s="85">
        <f>AI5+AH11</f>
      </c>
      <c r="AJ11" s="85">
        <f>AJ5+AI11</f>
      </c>
      <c r="AK11" s="85">
        <f>AK5+AJ11</f>
      </c>
      <c r="AL11" s="85">
        <f>AL5+AK11</f>
      </c>
      <c r="AM11" s="85">
        <f>AM5+AL11</f>
      </c>
      <c r="AN11" s="85">
        <f>AN5+AM11</f>
      </c>
      <c r="AO11" s="85">
        <f>AO5+AN11</f>
      </c>
      <c r="AP11" s="85">
        <f>AP5+AO11</f>
      </c>
      <c r="AQ11" s="85">
        <f>AQ5+AP11</f>
      </c>
      <c r="AR11" s="85">
        <f>AR5+AQ11</f>
      </c>
      <c r="AS11" s="85">
        <f>AS5+AR11</f>
      </c>
      <c r="AT11" s="85">
        <f>AT5+AS11</f>
      </c>
      <c r="AU11" s="85">
        <f>AU5+AT11</f>
      </c>
      <c r="AV11" s="85">
        <f>AV5+AU11</f>
      </c>
      <c r="AW11" s="3"/>
      <c r="AX11" s="3"/>
      <c r="AY11" s="3"/>
      <c r="AZ11" s="3"/>
      <c r="BA11" s="3"/>
      <c r="BB11" s="3"/>
    </row>
    <row x14ac:dyDescent="0.25" r="12" customHeight="1" ht="15.6">
      <c r="A12" s="3"/>
      <c r="B12" s="86" t="s">
        <v>148</v>
      </c>
      <c r="C12" s="85">
        <f>C6</f>
      </c>
      <c r="D12" s="85">
        <f>D6+C12</f>
      </c>
      <c r="E12" s="85">
        <f>E6+D12</f>
      </c>
      <c r="F12" s="85">
        <f>F6+E12</f>
      </c>
      <c r="G12" s="85">
        <f>G6+F12</f>
      </c>
      <c r="H12" s="85">
        <f>H6+G12</f>
      </c>
      <c r="I12" s="85">
        <f>I6+H12</f>
      </c>
      <c r="J12" s="85">
        <f>J6+I12</f>
      </c>
      <c r="K12" s="85">
        <f>K6+J12</f>
      </c>
      <c r="L12" s="85">
        <f>L6+K12</f>
      </c>
      <c r="M12" s="85">
        <f>M6+L12</f>
      </c>
      <c r="N12" s="85">
        <f>N6+M12</f>
      </c>
      <c r="O12" s="85">
        <f>O6+N12</f>
      </c>
      <c r="P12" s="85">
        <f>P6+O12</f>
      </c>
      <c r="Q12" s="85">
        <f>Q6+P12</f>
      </c>
      <c r="R12" s="85">
        <f>R6+Q12</f>
      </c>
      <c r="S12" s="85">
        <f>S6+R12</f>
      </c>
      <c r="T12" s="85">
        <f>T6+S12</f>
      </c>
      <c r="U12" s="85">
        <f>U6+T12</f>
      </c>
      <c r="V12" s="85">
        <f>V6+U12</f>
      </c>
      <c r="W12" s="85">
        <f>W6+V12</f>
      </c>
      <c r="X12" s="85">
        <f>X6+W12</f>
      </c>
      <c r="Y12" s="85">
        <f>Y6+X12</f>
      </c>
      <c r="Z12" s="85">
        <f>Z6+Y12</f>
      </c>
      <c r="AA12" s="85">
        <f>AA6+Z12</f>
      </c>
      <c r="AB12" s="85">
        <f>AB6+AA12</f>
      </c>
      <c r="AC12" s="85">
        <f>AC6+AB12</f>
      </c>
      <c r="AD12" s="102">
        <f>AD6+AC12</f>
      </c>
      <c r="AE12" s="85">
        <f>AE6+AD12</f>
      </c>
      <c r="AF12" s="85">
        <f>AF6+AE12</f>
      </c>
      <c r="AG12" s="85">
        <f>AG6+AF12</f>
      </c>
      <c r="AH12" s="85">
        <f>AH6+AG12</f>
      </c>
      <c r="AI12" s="85">
        <f>AI6+AH12</f>
      </c>
      <c r="AJ12" s="85">
        <f>AJ6+AI12</f>
      </c>
      <c r="AK12" s="85">
        <f>AK6+AJ12</f>
      </c>
      <c r="AL12" s="85">
        <f>AL6+AK12</f>
      </c>
      <c r="AM12" s="85">
        <f>AM6+AL12</f>
      </c>
      <c r="AN12" s="85">
        <f>AN6+AM12</f>
      </c>
      <c r="AO12" s="85">
        <f>AO6+AN12</f>
      </c>
      <c r="AP12" s="85">
        <f>AP6+AO12</f>
      </c>
      <c r="AQ12" s="85">
        <f>AQ6+AP12</f>
      </c>
      <c r="AR12" s="85">
        <f>AR6+AQ12</f>
      </c>
      <c r="AS12" s="85">
        <f>AS6+AR12</f>
      </c>
      <c r="AT12" s="85">
        <f>AT6+AS12</f>
      </c>
      <c r="AU12" s="85">
        <f>AU6+AT12</f>
      </c>
      <c r="AV12" s="85">
        <f>AV6+AU12</f>
      </c>
      <c r="AW12" s="3"/>
      <c r="AX12" s="3"/>
      <c r="AY12" s="3"/>
      <c r="AZ12" s="3"/>
      <c r="BA12" s="3"/>
      <c r="BB12" s="3"/>
    </row>
    <row x14ac:dyDescent="0.25" r="13" customHeight="1" ht="15.6">
      <c r="A13" s="3"/>
      <c r="B13" s="86" t="s">
        <v>149</v>
      </c>
      <c r="C13" s="88">
        <f>6176.6+C5-C6</f>
      </c>
      <c r="D13" s="85">
        <f>C13+D5-D6</f>
      </c>
      <c r="E13" s="85">
        <f>D13+E5-E6</f>
      </c>
      <c r="F13" s="85">
        <f>E13+F5-F6</f>
      </c>
      <c r="G13" s="85">
        <f>F13+G5-G6</f>
      </c>
      <c r="H13" s="85">
        <f>G13+H5-H6</f>
      </c>
      <c r="I13" s="85">
        <f>H13+I5-I6</f>
      </c>
      <c r="J13" s="85">
        <f>I13+J5-J6</f>
      </c>
      <c r="K13" s="85">
        <f>J13+K5-K6</f>
      </c>
      <c r="L13" s="85">
        <f>K13+L5-L6</f>
      </c>
      <c r="M13" s="85">
        <f>L13+M5-M6</f>
      </c>
      <c r="N13" s="85">
        <f>M13+N5-N6</f>
      </c>
      <c r="O13" s="85">
        <f>N13+O5-O6</f>
      </c>
      <c r="P13" s="85">
        <f>O13+P5-P6</f>
      </c>
      <c r="Q13" s="85">
        <f>P13+Q5-Q6</f>
      </c>
      <c r="R13" s="85">
        <f>Q13+R5-R6</f>
      </c>
      <c r="S13" s="85">
        <f>R13+S5-S6</f>
      </c>
      <c r="T13" s="85">
        <f>S13+T5-T6</f>
      </c>
      <c r="U13" s="85">
        <f>T13+U5-U6</f>
      </c>
      <c r="V13" s="85">
        <f>U13+V5-V6</f>
      </c>
      <c r="W13" s="85">
        <f>V13+W5-W6</f>
      </c>
      <c r="X13" s="85">
        <f>W13+X5-X6</f>
      </c>
      <c r="Y13" s="85">
        <f>X13+Y5-Y6</f>
      </c>
      <c r="Z13" s="85">
        <f>Y13+Z5-Z6</f>
      </c>
      <c r="AA13" s="85">
        <f>Z13+AA5-AA6</f>
      </c>
      <c r="AB13" s="85">
        <f>AA13+AB5-AB6</f>
      </c>
      <c r="AC13" s="85">
        <f>AB13+AC5-AC6</f>
      </c>
      <c r="AD13" s="102">
        <f>AC13+AD5-AD6</f>
      </c>
      <c r="AE13" s="85">
        <f>AD13+AE5-AE6</f>
      </c>
      <c r="AF13" s="85">
        <f>AE13+AF5-AF6</f>
      </c>
      <c r="AG13" s="85">
        <f>AF13+AG5-AG6</f>
      </c>
      <c r="AH13" s="85">
        <f>AG13+AH5-AH6</f>
      </c>
      <c r="AI13" s="85">
        <f>AH13+AI5-AI6</f>
      </c>
      <c r="AJ13" s="85">
        <f>AI13+AJ5-AJ6</f>
      </c>
      <c r="AK13" s="85">
        <f>AJ13+AK5-AK6</f>
      </c>
      <c r="AL13" s="85">
        <f>AK13+AL5-AL6</f>
      </c>
      <c r="AM13" s="85">
        <f>AL13+AM5-AM6</f>
      </c>
      <c r="AN13" s="85">
        <f>AM13+AN5-AN6</f>
      </c>
      <c r="AO13" s="85">
        <f>AN13+AO5-AO6</f>
      </c>
      <c r="AP13" s="85">
        <f>AO13+AP5-AP6</f>
      </c>
      <c r="AQ13" s="85">
        <f>AP13+AQ5-AQ6</f>
      </c>
      <c r="AR13" s="85">
        <f>AQ13+AR5-AR6</f>
      </c>
      <c r="AS13" s="85">
        <f>AR13+AS5-AS6</f>
      </c>
      <c r="AT13" s="85">
        <f>AS13+AT5-AT6</f>
      </c>
      <c r="AU13" s="85">
        <f>AT13+AU5-AU6</f>
      </c>
      <c r="AV13" s="85">
        <f>AU13+AV5-AV6</f>
      </c>
      <c r="AW13" s="85">
        <f>AV13+AW5-AW6</f>
      </c>
      <c r="AX13" s="85">
        <f>AW13+AX5-AX6</f>
      </c>
      <c r="AY13" s="85">
        <f>AX13+AY5-AY6</f>
      </c>
      <c r="AZ13" s="85">
        <f>AY13+AZ5-AZ6</f>
      </c>
      <c r="BA13" s="85">
        <f>AZ13+BA5-BA6</f>
      </c>
      <c r="BB13" s="85">
        <f>BA13+BB5-BB6</f>
      </c>
    </row>
    <row x14ac:dyDescent="0.25" r="14" customHeight="1" ht="15.6">
      <c r="A14" s="75" t="s">
        <v>150</v>
      </c>
      <c r="B14" s="77"/>
      <c r="C14" s="97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103"/>
      <c r="AE14" s="95"/>
      <c r="AF14" s="78">
        <f>AF3</f>
      </c>
      <c r="AG14" s="78">
        <f>AG3</f>
      </c>
      <c r="AH14" s="78">
        <f>AH3</f>
      </c>
      <c r="AI14" s="78">
        <f>AI3</f>
      </c>
      <c r="AJ14" s="78">
        <f>AJ3</f>
      </c>
      <c r="AK14" s="78">
        <f>AK3</f>
      </c>
      <c r="AL14" s="78">
        <f>AL3</f>
      </c>
      <c r="AM14" s="78">
        <f>AM3</f>
      </c>
      <c r="AN14" s="78">
        <f>AN3</f>
      </c>
      <c r="AO14" s="78">
        <f>AO3</f>
      </c>
      <c r="AP14" s="78">
        <f>AP3</f>
      </c>
      <c r="AQ14" s="78">
        <f>AQ3</f>
      </c>
      <c r="AR14" s="78">
        <f>AR3</f>
      </c>
      <c r="AS14" s="78">
        <f>AS3</f>
      </c>
      <c r="AT14" s="78">
        <f>AT3</f>
      </c>
      <c r="AU14" s="78">
        <f>AU3</f>
      </c>
      <c r="AV14" s="78">
        <f>AV3</f>
      </c>
      <c r="AW14" s="78">
        <f>AW3</f>
      </c>
      <c r="AX14" s="78">
        <f>AX3</f>
      </c>
      <c r="AY14" s="78">
        <f>AY3</f>
      </c>
      <c r="AZ14" s="78">
        <f>AZ3</f>
      </c>
      <c r="BA14" s="78">
        <f>BA3</f>
      </c>
      <c r="BB14" s="78">
        <f>BB3</f>
      </c>
    </row>
    <row x14ac:dyDescent="0.25" r="15" customHeight="1" ht="15.6">
      <c r="A15" s="104" t="s">
        <v>151</v>
      </c>
      <c r="B15" s="88" t="s">
        <v>152</v>
      </c>
      <c r="C15" s="105"/>
      <c r="D15" s="8"/>
      <c r="E15" s="74"/>
      <c r="F15" s="74"/>
      <c r="G15" s="74"/>
      <c r="H15" s="74"/>
      <c r="I15" s="74"/>
      <c r="J15" s="74"/>
      <c r="K15" s="74"/>
      <c r="L15" s="8"/>
      <c r="M15" s="8"/>
      <c r="N15" s="8"/>
      <c r="O15" s="74"/>
      <c r="P15" s="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06"/>
      <c r="AE15" s="107"/>
      <c r="AF15" s="108"/>
      <c r="AG15" s="108"/>
      <c r="AH15" s="108"/>
      <c r="AI15" s="108"/>
      <c r="AJ15" s="3"/>
      <c r="AK15" s="3"/>
      <c r="AL15" s="107"/>
      <c r="AM15" s="108"/>
      <c r="AN15" s="107"/>
      <c r="AO15" s="108"/>
      <c r="AP15" s="108"/>
      <c r="AQ15" s="107"/>
      <c r="AR15" s="108"/>
      <c r="AS15" s="108"/>
      <c r="AT15" s="108"/>
      <c r="AU15" s="108"/>
      <c r="AV15" s="108"/>
      <c r="AW15" s="108"/>
      <c r="AX15" s="3"/>
      <c r="AY15" s="3"/>
      <c r="AZ15" s="3"/>
      <c r="BA15" s="3"/>
      <c r="BB15" s="3"/>
    </row>
    <row x14ac:dyDescent="0.25" r="16" customHeight="1" ht="15.6">
      <c r="A16" s="3"/>
      <c r="B16" s="88" t="s">
        <v>153</v>
      </c>
      <c r="C16" s="92"/>
      <c r="D16" s="8"/>
      <c r="E16" s="74"/>
      <c r="F16" s="74"/>
      <c r="G16" s="74"/>
      <c r="H16" s="74"/>
      <c r="I16" s="74"/>
      <c r="J16" s="74"/>
      <c r="K16" s="74"/>
      <c r="L16" s="8"/>
      <c r="M16" s="8"/>
      <c r="N16" s="8"/>
      <c r="O16" s="74"/>
      <c r="P16" s="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09"/>
      <c r="AE16" s="110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110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x14ac:dyDescent="0.25" r="17" customHeight="1" ht="15.6">
      <c r="A17" s="111"/>
      <c r="B17" s="77" t="s">
        <v>154</v>
      </c>
      <c r="C17" s="101"/>
      <c r="D17" s="8"/>
      <c r="E17" s="74"/>
      <c r="F17" s="74"/>
      <c r="G17" s="74"/>
      <c r="H17" s="74"/>
      <c r="I17" s="74"/>
      <c r="J17" s="74"/>
      <c r="K17" s="74"/>
      <c r="L17" s="8"/>
      <c r="M17" s="8"/>
      <c r="N17" s="8"/>
      <c r="O17" s="74"/>
      <c r="P17" s="8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12"/>
      <c r="AE17" s="113"/>
      <c r="AF17" s="114"/>
      <c r="AG17" s="114"/>
      <c r="AH17" s="115"/>
      <c r="AI17" s="115"/>
      <c r="AJ17" s="115"/>
      <c r="AK17" s="114"/>
      <c r="AL17" s="115"/>
      <c r="AM17" s="115"/>
      <c r="AN17" s="115"/>
      <c r="AO17" s="115"/>
      <c r="AP17" s="115"/>
      <c r="AQ17" s="114"/>
      <c r="AR17" s="115"/>
      <c r="AS17" s="115"/>
      <c r="AT17" s="115"/>
      <c r="AU17" s="115"/>
      <c r="AV17" s="115"/>
      <c r="AW17" s="115"/>
      <c r="AX17" s="3"/>
      <c r="AY17" s="3"/>
      <c r="AZ17" s="3"/>
      <c r="BA17" s="3"/>
      <c r="BB17" s="3"/>
    </row>
    <row x14ac:dyDescent="0.25" r="18" customHeight="1" ht="15.6">
      <c r="A18" s="104" t="s">
        <v>155</v>
      </c>
      <c r="B18" s="86" t="s">
        <v>156</v>
      </c>
      <c r="C18" s="90"/>
      <c r="D18" s="8"/>
      <c r="E18" s="74"/>
      <c r="F18" s="74"/>
      <c r="G18" s="74"/>
      <c r="H18" s="74"/>
      <c r="I18" s="74"/>
      <c r="J18" s="74"/>
      <c r="K18" s="74"/>
      <c r="L18" s="8"/>
      <c r="M18" s="8"/>
      <c r="N18" s="8"/>
      <c r="O18" s="74"/>
      <c r="P18" s="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09"/>
      <c r="AE18" s="92"/>
      <c r="AF18" s="92"/>
      <c r="AG18" s="110"/>
      <c r="AH18" s="116"/>
      <c r="AI18" s="108"/>
      <c r="AJ18" s="110"/>
      <c r="AK18" s="116"/>
      <c r="AL18" s="92"/>
      <c r="AM18" s="92"/>
      <c r="AN18" s="110"/>
      <c r="AO18" s="110"/>
      <c r="AP18" s="116"/>
      <c r="AQ18" s="116"/>
      <c r="AR18" s="116"/>
      <c r="AS18" s="110"/>
      <c r="AT18" s="92"/>
      <c r="AU18" s="92"/>
      <c r="AV18" s="3"/>
      <c r="AW18" s="3"/>
      <c r="AX18" s="3"/>
      <c r="AY18" s="3"/>
      <c r="AZ18" s="3"/>
      <c r="BA18" s="3"/>
      <c r="BB18" s="3"/>
    </row>
    <row x14ac:dyDescent="0.25" r="19" customHeight="1" ht="15.6">
      <c r="A19" s="3"/>
      <c r="B19" s="86" t="s">
        <v>157</v>
      </c>
      <c r="C19" s="90"/>
      <c r="D19" s="8"/>
      <c r="E19" s="74"/>
      <c r="F19" s="74"/>
      <c r="G19" s="74"/>
      <c r="H19" s="74"/>
      <c r="I19" s="74"/>
      <c r="J19" s="74"/>
      <c r="K19" s="74"/>
      <c r="L19" s="8"/>
      <c r="M19" s="8"/>
      <c r="N19" s="8"/>
      <c r="O19" s="74"/>
      <c r="P19" s="8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109"/>
      <c r="AE19" s="92"/>
      <c r="AF19" s="110"/>
      <c r="AG19" s="116"/>
      <c r="AH19" s="110"/>
      <c r="AI19" s="105"/>
      <c r="AJ19" s="116"/>
      <c r="AK19" s="116"/>
      <c r="AL19" s="92"/>
      <c r="AM19" s="92"/>
      <c r="AN19" s="92"/>
      <c r="AO19" s="110"/>
      <c r="AP19" s="110"/>
      <c r="AQ19" s="116"/>
      <c r="AR19" s="110"/>
      <c r="AS19" s="92"/>
      <c r="AT19" s="110"/>
      <c r="AU19" s="116"/>
      <c r="AV19" s="3"/>
      <c r="AW19" s="3"/>
      <c r="AX19" s="3"/>
      <c r="AY19" s="3"/>
      <c r="AZ19" s="3"/>
      <c r="BA19" s="3"/>
      <c r="BB19" s="3"/>
    </row>
    <row x14ac:dyDescent="0.25" r="20" customHeight="1" ht="15.6">
      <c r="A20" s="111"/>
      <c r="B20" s="77" t="s">
        <v>158</v>
      </c>
      <c r="C20" s="99"/>
      <c r="D20" s="8"/>
      <c r="E20" s="74"/>
      <c r="F20" s="74"/>
      <c r="G20" s="74"/>
      <c r="H20" s="74"/>
      <c r="I20" s="74"/>
      <c r="J20" s="74"/>
      <c r="K20" s="74"/>
      <c r="L20" s="8"/>
      <c r="M20" s="8"/>
      <c r="N20" s="8"/>
      <c r="O20" s="74"/>
      <c r="P20" s="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117"/>
      <c r="AE20" s="101"/>
      <c r="AF20" s="118"/>
      <c r="AG20" s="119"/>
      <c r="AH20" s="118"/>
      <c r="AI20" s="115"/>
      <c r="AJ20" s="118"/>
      <c r="AK20" s="119"/>
      <c r="AL20" s="101"/>
      <c r="AM20" s="101"/>
      <c r="AN20" s="101"/>
      <c r="AO20" s="118"/>
      <c r="AP20" s="119"/>
      <c r="AQ20" s="118"/>
      <c r="AR20" s="119"/>
      <c r="AS20" s="118"/>
      <c r="AT20" s="118"/>
      <c r="AU20" s="119"/>
      <c r="AV20" s="3"/>
      <c r="AW20" s="3"/>
      <c r="AX20" s="3"/>
      <c r="AY20" s="3"/>
      <c r="AZ20" s="3"/>
      <c r="BA20" s="3"/>
      <c r="BB20" s="3"/>
    </row>
    <row x14ac:dyDescent="0.25" r="21" customHeight="1" ht="19.5">
      <c r="A21" s="3"/>
      <c r="B21" s="120"/>
      <c r="C21" s="44"/>
      <c r="D21" s="8"/>
      <c r="E21" s="74"/>
      <c r="F21" s="74"/>
      <c r="G21" s="74"/>
      <c r="H21" s="74"/>
      <c r="I21" s="74"/>
      <c r="J21" s="74"/>
      <c r="K21" s="74"/>
      <c r="L21" s="8"/>
      <c r="M21" s="8"/>
      <c r="N21" s="8"/>
      <c r="O21" s="74"/>
      <c r="P21" s="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21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x14ac:dyDescent="0.25" r="22" customHeight="1" ht="19.5">
      <c r="A22" s="122" t="s">
        <v>159</v>
      </c>
      <c r="B22" s="123">
        <f>450000-A6</f>
      </c>
      <c r="C22" s="44"/>
      <c r="D22" s="8"/>
      <c r="E22" s="74"/>
      <c r="F22" s="74"/>
      <c r="G22" s="74"/>
      <c r="H22" s="74"/>
      <c r="I22" s="74"/>
      <c r="J22" s="74"/>
      <c r="K22" s="74"/>
      <c r="L22" s="8"/>
      <c r="M22" s="8"/>
      <c r="N22" s="8"/>
      <c r="O22" s="74"/>
      <c r="P22" s="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21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</row>
    <row x14ac:dyDescent="0.25" r="23" customHeight="1" ht="19.5">
      <c r="A23" s="124"/>
      <c r="B23" s="125"/>
      <c r="C23" s="44"/>
      <c r="D23" s="8"/>
      <c r="E23" s="74"/>
      <c r="F23" s="74"/>
      <c r="G23" s="74"/>
      <c r="H23" s="74"/>
      <c r="I23" s="74"/>
      <c r="J23" s="74"/>
      <c r="K23" s="74"/>
      <c r="L23" s="8"/>
      <c r="M23" s="8"/>
      <c r="N23" s="8"/>
      <c r="O23" s="74"/>
      <c r="P23" s="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21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</row>
    <row x14ac:dyDescent="0.25" r="24" customHeight="1" ht="19.5">
      <c r="A24" s="124"/>
      <c r="B24" s="125"/>
      <c r="C24" s="44"/>
      <c r="D24" s="8"/>
      <c r="E24" s="74"/>
      <c r="F24" s="74"/>
      <c r="G24" s="74"/>
      <c r="H24" s="74"/>
      <c r="I24" s="74"/>
      <c r="J24" s="74"/>
      <c r="K24" s="74"/>
      <c r="L24" s="8"/>
      <c r="M24" s="8"/>
      <c r="N24" s="8"/>
      <c r="O24" s="74"/>
      <c r="P24" s="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121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x14ac:dyDescent="0.25" r="25" customHeight="1" ht="15.6">
      <c r="A25" s="126" t="s">
        <v>160</v>
      </c>
      <c r="B25" s="8"/>
      <c r="C25" s="73"/>
      <c r="D25" s="8"/>
      <c r="E25" s="74"/>
      <c r="F25" s="74"/>
      <c r="G25" s="74"/>
      <c r="H25" s="74"/>
      <c r="I25" s="74"/>
      <c r="J25" s="74"/>
      <c r="K25" s="74"/>
      <c r="L25" s="8"/>
      <c r="M25" s="8"/>
      <c r="N25" s="8"/>
      <c r="O25" s="74"/>
      <c r="P25" s="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127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</row>
    <row x14ac:dyDescent="0.25" r="26" customHeight="1" ht="15.6">
      <c r="A26" s="75" t="s">
        <v>74</v>
      </c>
      <c r="B26" s="128" t="s">
        <v>84</v>
      </c>
      <c r="C26" s="73"/>
      <c r="D26" s="129" t="s">
        <v>59</v>
      </c>
      <c r="E26" s="78" t="s">
        <v>76</v>
      </c>
      <c r="F26" s="130" t="s">
        <v>161</v>
      </c>
      <c r="G26" s="130" t="s">
        <v>162</v>
      </c>
      <c r="H26" s="130" t="s">
        <v>163</v>
      </c>
      <c r="I26" s="74"/>
      <c r="J26" s="74"/>
      <c r="K26" s="74"/>
      <c r="L26" s="8"/>
      <c r="M26" s="8"/>
      <c r="N26" s="8"/>
      <c r="O26" s="74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</row>
    <row x14ac:dyDescent="0.25" r="27" customHeight="1" ht="15.6">
      <c r="A27" s="131"/>
      <c r="B27" s="132"/>
      <c r="C27" s="133"/>
      <c r="D27" s="134"/>
      <c r="E27" s="135"/>
      <c r="F27" s="136"/>
      <c r="G27" s="135"/>
      <c r="H27" s="137"/>
      <c r="I27" s="138"/>
      <c r="J27" s="138"/>
      <c r="K27" s="138"/>
      <c r="L27" s="133"/>
      <c r="M27" s="133"/>
      <c r="N27" s="133"/>
      <c r="O27" s="138"/>
      <c r="P27" s="133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</row>
    <row x14ac:dyDescent="0.25" r="28" customHeight="1" ht="15.6">
      <c r="A28" s="131"/>
      <c r="B28" s="132"/>
      <c r="C28" s="133"/>
      <c r="D28" s="134"/>
      <c r="E28" s="135"/>
      <c r="F28" s="136"/>
      <c r="G28" s="135"/>
      <c r="H28" s="137"/>
      <c r="I28" s="138"/>
      <c r="J28" s="138"/>
      <c r="K28" s="138"/>
      <c r="L28" s="133"/>
      <c r="M28" s="133"/>
      <c r="N28" s="133"/>
      <c r="O28" s="138"/>
      <c r="P28" s="133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</row>
    <row x14ac:dyDescent="0.25" r="29" customHeight="1" ht="15.6">
      <c r="A29" s="140"/>
      <c r="B29" s="8"/>
      <c r="C29" s="141"/>
      <c r="D29" s="42"/>
      <c r="E29" s="142"/>
      <c r="F29" s="143"/>
      <c r="G29" s="144"/>
      <c r="H29" s="145"/>
      <c r="I29" s="146"/>
      <c r="J29" s="146"/>
      <c r="K29" s="146"/>
      <c r="L29" s="141"/>
      <c r="M29" s="141"/>
      <c r="N29" s="141"/>
      <c r="O29" s="146"/>
      <c r="P29" s="141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x14ac:dyDescent="0.25" r="30" customHeight="1" ht="15.6">
      <c r="A30" s="148"/>
      <c r="B30" s="8"/>
      <c r="C30" s="141"/>
      <c r="D30" s="42"/>
      <c r="E30" s="142"/>
      <c r="F30" s="149"/>
      <c r="G30" s="150"/>
      <c r="H30" s="151"/>
      <c r="I30" s="146"/>
      <c r="J30" s="146"/>
      <c r="K30" s="146"/>
      <c r="L30" s="141"/>
      <c r="M30" s="141"/>
      <c r="N30" s="141"/>
      <c r="O30" s="146"/>
      <c r="P30" s="141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x14ac:dyDescent="0.25" r="31" customHeight="1" ht="15.6">
      <c r="A31" s="152"/>
      <c r="B31" s="8"/>
      <c r="C31" s="141"/>
      <c r="D31" s="42"/>
      <c r="E31" s="142"/>
      <c r="F31" s="153"/>
      <c r="G31" s="154"/>
      <c r="H31" s="155"/>
      <c r="I31" s="146"/>
      <c r="J31" s="146"/>
      <c r="K31" s="146"/>
      <c r="L31" s="141"/>
      <c r="M31" s="141"/>
      <c r="N31" s="141"/>
      <c r="O31" s="146"/>
      <c r="P31" s="141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x14ac:dyDescent="0.25" r="32" customHeight="1" ht="15.6">
      <c r="A32" s="3"/>
      <c r="B32" s="8"/>
      <c r="C32" s="141"/>
      <c r="D32" s="42"/>
      <c r="E32" s="142"/>
      <c r="F32" s="31"/>
      <c r="G32" s="44"/>
      <c r="H32" s="9"/>
      <c r="I32" s="146"/>
      <c r="J32" s="146"/>
      <c r="K32" s="146"/>
      <c r="L32" s="141"/>
      <c r="M32" s="141"/>
      <c r="N32" s="141"/>
      <c r="O32" s="146"/>
      <c r="P32" s="141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x14ac:dyDescent="0.25" r="33" customHeight="1" ht="15.6">
      <c r="A33" s="3"/>
      <c r="B33" s="8"/>
      <c r="C33" s="141"/>
      <c r="D33" s="42"/>
      <c r="E33" s="142"/>
      <c r="F33" s="31"/>
      <c r="G33" s="44"/>
      <c r="H33" s="9"/>
      <c r="I33" s="146"/>
      <c r="J33" s="146"/>
      <c r="K33" s="146"/>
      <c r="L33" s="141"/>
      <c r="M33" s="141"/>
      <c r="N33" s="141"/>
      <c r="O33" s="146"/>
      <c r="P33" s="141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x14ac:dyDescent="0.25" r="34" customHeight="1" ht="15.6">
      <c r="A34" s="3"/>
      <c r="B34" s="8"/>
      <c r="C34" s="141"/>
      <c r="D34" s="42"/>
      <c r="E34" s="142"/>
      <c r="F34" s="31"/>
      <c r="G34" s="44"/>
      <c r="H34" s="9"/>
      <c r="I34" s="146"/>
      <c r="J34" s="146"/>
      <c r="K34" s="146"/>
      <c r="L34" s="141"/>
      <c r="M34" s="141"/>
      <c r="N34" s="141"/>
      <c r="O34" s="146"/>
      <c r="P34" s="141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</row>
    <row x14ac:dyDescent="0.25" r="35" customHeight="1" ht="15.6">
      <c r="A35" s="3"/>
      <c r="B35" s="8"/>
      <c r="C35" s="141"/>
      <c r="D35" s="42"/>
      <c r="E35" s="142"/>
      <c r="F35" s="31"/>
      <c r="G35" s="44"/>
      <c r="H35" s="9"/>
      <c r="I35" s="146"/>
      <c r="J35" s="146"/>
      <c r="K35" s="146"/>
      <c r="L35" s="141"/>
      <c r="M35" s="141"/>
      <c r="N35" s="141"/>
      <c r="O35" s="146"/>
      <c r="P35" s="141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</row>
    <row x14ac:dyDescent="0.25" r="36" customHeight="1" ht="15.6">
      <c r="A36" s="156"/>
      <c r="B36" s="8"/>
      <c r="C36" s="141"/>
      <c r="D36" s="42"/>
      <c r="E36" s="142"/>
      <c r="F36" s="157"/>
      <c r="G36" s="158"/>
      <c r="H36" s="159"/>
      <c r="I36" s="146"/>
      <c r="J36" s="146"/>
      <c r="K36" s="146"/>
      <c r="L36" s="141"/>
      <c r="M36" s="141"/>
      <c r="N36" s="141"/>
      <c r="O36" s="146"/>
      <c r="P36" s="141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</row>
    <row x14ac:dyDescent="0.25" r="37" customHeight="1" ht="15.6">
      <c r="A37" s="3"/>
      <c r="B37" s="8"/>
      <c r="C37" s="141"/>
      <c r="D37" s="42"/>
      <c r="E37" s="142"/>
      <c r="F37" s="31"/>
      <c r="G37" s="44"/>
      <c r="H37" s="9"/>
      <c r="I37" s="146"/>
      <c r="J37" s="146"/>
      <c r="K37" s="146"/>
      <c r="L37" s="141"/>
      <c r="M37" s="141"/>
      <c r="N37" s="141"/>
      <c r="O37" s="146"/>
      <c r="P37" s="141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x14ac:dyDescent="0.25" r="38" customHeight="1" ht="15.6">
      <c r="A38" s="3"/>
      <c r="B38" s="8"/>
      <c r="C38" s="141"/>
      <c r="D38" s="42"/>
      <c r="E38" s="142"/>
      <c r="F38" s="31"/>
      <c r="G38" s="44"/>
      <c r="H38" s="9"/>
      <c r="I38" s="146"/>
      <c r="J38" s="146"/>
      <c r="K38" s="146"/>
      <c r="L38" s="141"/>
      <c r="M38" s="141"/>
      <c r="N38" s="141"/>
      <c r="O38" s="146"/>
      <c r="P38" s="141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x14ac:dyDescent="0.25" r="39" customHeight="1" ht="15.6">
      <c r="A39" s="3"/>
      <c r="B39" s="8"/>
      <c r="C39" s="73"/>
      <c r="D39" s="31"/>
      <c r="E39" s="160"/>
      <c r="F39" s="31"/>
      <c r="G39" s="44"/>
      <c r="H39" s="9"/>
      <c r="I39" s="74"/>
      <c r="J39" s="74"/>
      <c r="K39" s="74"/>
      <c r="L39" s="8"/>
      <c r="M39" s="8"/>
      <c r="N39" s="8"/>
      <c r="O39" s="74"/>
      <c r="P39" s="8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x14ac:dyDescent="0.25" r="40" customHeight="1" ht="15.6">
      <c r="A40" s="3"/>
      <c r="B40" s="8"/>
      <c r="C40" s="73"/>
      <c r="D40" s="31"/>
      <c r="E40" s="160"/>
      <c r="F40" s="31"/>
      <c r="G40" s="44"/>
      <c r="H40" s="9"/>
      <c r="I40" s="74"/>
      <c r="J40" s="74"/>
      <c r="K40" s="74"/>
      <c r="L40" s="8"/>
      <c r="M40" s="8"/>
      <c r="N40" s="8"/>
      <c r="O40" s="74"/>
      <c r="P40" s="8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x14ac:dyDescent="0.25" r="41" customHeight="1" ht="15.6">
      <c r="A41" s="3"/>
      <c r="B41" s="8"/>
      <c r="C41" s="73"/>
      <c r="D41" s="31"/>
      <c r="E41" s="160"/>
      <c r="F41" s="31"/>
      <c r="G41" s="44"/>
      <c r="H41" s="9"/>
      <c r="I41" s="74"/>
      <c r="J41" s="74"/>
      <c r="K41" s="74"/>
      <c r="L41" s="8"/>
      <c r="M41" s="8"/>
      <c r="N41" s="8"/>
      <c r="O41" s="74"/>
      <c r="P41" s="8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x14ac:dyDescent="0.25" r="42" customHeight="1" ht="15.6">
      <c r="A42" s="3"/>
      <c r="B42" s="8"/>
      <c r="C42" s="73"/>
      <c r="D42" s="8"/>
      <c r="E42" s="160"/>
      <c r="F42" s="31"/>
      <c r="G42" s="74"/>
      <c r="H42" s="9"/>
      <c r="I42" s="74"/>
      <c r="J42" s="74"/>
      <c r="K42" s="74"/>
      <c r="L42" s="8"/>
      <c r="M42" s="8"/>
      <c r="N42" s="8"/>
      <c r="O42" s="74"/>
      <c r="P42" s="8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x14ac:dyDescent="0.25" r="43" customHeight="1" ht="19.5">
      <c r="A43" s="111"/>
      <c r="B43" s="161"/>
      <c r="C43" s="161"/>
      <c r="D43" s="161"/>
      <c r="E43" s="162"/>
      <c r="F43" s="157"/>
      <c r="G43" s="158"/>
      <c r="H43" s="159"/>
      <c r="I43" s="163"/>
      <c r="J43" s="163"/>
      <c r="K43" s="163"/>
      <c r="L43" s="161"/>
      <c r="M43" s="161"/>
      <c r="N43" s="161"/>
      <c r="O43" s="163"/>
      <c r="P43" s="16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  <row x14ac:dyDescent="0.25" r="44" customHeight="1" ht="19.5">
      <c r="A44" s="3"/>
      <c r="B44" s="8"/>
      <c r="C44" s="73"/>
      <c r="D44" s="8"/>
      <c r="E44" s="74"/>
      <c r="F44" s="74"/>
      <c r="G44" s="74"/>
      <c r="H44" s="74"/>
      <c r="I44" s="74"/>
      <c r="J44" s="74"/>
      <c r="K44" s="74"/>
      <c r="L44" s="8"/>
      <c r="M44" s="8"/>
      <c r="N44" s="8"/>
      <c r="O44" s="74"/>
      <c r="P44" s="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</row>
    <row x14ac:dyDescent="0.25" r="45" customHeight="1" ht="19.5">
      <c r="A45" s="3"/>
      <c r="B45" s="8"/>
      <c r="C45" s="73"/>
      <c r="D45" s="8"/>
      <c r="E45" s="74"/>
      <c r="F45" s="74"/>
      <c r="G45" s="164" t="s">
        <v>51</v>
      </c>
      <c r="H45" s="165">
        <f>SUM(H27:H43)</f>
      </c>
      <c r="I45" s="74"/>
      <c r="J45" s="74"/>
      <c r="K45" s="74"/>
      <c r="L45" s="8"/>
      <c r="M45" s="8"/>
      <c r="N45" s="8"/>
      <c r="O45" s="74"/>
      <c r="P45" s="8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x14ac:dyDescent="0.25" r="46" customHeight="1" ht="19.5">
      <c r="A46" s="3"/>
      <c r="B46" s="8"/>
      <c r="C46" s="73"/>
      <c r="D46" s="8"/>
      <c r="E46" s="74"/>
      <c r="F46" s="74"/>
      <c r="G46" s="74"/>
      <c r="H46" s="74"/>
      <c r="I46" s="74"/>
      <c r="J46" s="74"/>
      <c r="K46" s="74"/>
      <c r="L46" s="8"/>
      <c r="M46" s="8"/>
      <c r="N46" s="8"/>
      <c r="O46" s="74"/>
      <c r="P46" s="8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x14ac:dyDescent="0.25" r="47" customHeight="1" ht="19.5">
      <c r="A47" s="3"/>
      <c r="B47" s="8"/>
      <c r="C47" s="73"/>
      <c r="D47" s="8"/>
      <c r="E47" s="74"/>
      <c r="F47" s="74"/>
      <c r="G47" s="74"/>
      <c r="H47" s="74"/>
      <c r="I47" s="74"/>
      <c r="J47" s="74"/>
      <c r="K47" s="74"/>
      <c r="L47" s="8"/>
      <c r="M47" s="8"/>
      <c r="N47" s="8"/>
      <c r="O47" s="74"/>
      <c r="P47" s="8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x14ac:dyDescent="0.25" r="48" customHeight="1" ht="19.5">
      <c r="A48" s="3"/>
      <c r="B48" s="166" t="s">
        <v>164</v>
      </c>
      <c r="C48" s="73"/>
      <c r="D48" s="8"/>
      <c r="E48" s="74"/>
      <c r="F48" s="74"/>
      <c r="G48" s="74"/>
      <c r="H48" s="74"/>
      <c r="I48" s="74"/>
      <c r="J48" s="74"/>
      <c r="K48" s="74"/>
      <c r="L48" s="8"/>
      <c r="M48" s="8"/>
      <c r="N48" s="8"/>
      <c r="O48" s="74"/>
      <c r="P48" s="8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x14ac:dyDescent="0.25" r="49" customHeight="1" ht="15.6">
      <c r="A49" s="75" t="s">
        <v>86</v>
      </c>
      <c r="B49" s="76" t="s">
        <v>165</v>
      </c>
      <c r="C49" s="77" t="s">
        <v>88</v>
      </c>
      <c r="D49" s="77" t="s">
        <v>89</v>
      </c>
      <c r="E49" s="78" t="s">
        <v>90</v>
      </c>
      <c r="F49" s="79" t="s">
        <v>91</v>
      </c>
      <c r="G49" s="79" t="s">
        <v>92</v>
      </c>
      <c r="H49" s="79" t="s">
        <v>93</v>
      </c>
      <c r="I49" s="78" t="s">
        <v>94</v>
      </c>
      <c r="J49" s="79" t="s">
        <v>95</v>
      </c>
      <c r="K49" s="78" t="s">
        <v>96</v>
      </c>
      <c r="L49" s="80" t="s">
        <v>97</v>
      </c>
      <c r="M49" s="80" t="s">
        <v>98</v>
      </c>
      <c r="N49" s="80" t="s">
        <v>99</v>
      </c>
      <c r="O49" s="79" t="s">
        <v>100</v>
      </c>
      <c r="P49" s="80" t="s">
        <v>101</v>
      </c>
      <c r="Q49" s="81" t="s">
        <v>102</v>
      </c>
      <c r="R49" s="81" t="s">
        <v>103</v>
      </c>
      <c r="S49" s="82" t="s">
        <v>104</v>
      </c>
      <c r="T49" s="81" t="s">
        <v>105</v>
      </c>
      <c r="U49" s="81" t="s">
        <v>106</v>
      </c>
      <c r="V49" s="81" t="s">
        <v>107</v>
      </c>
      <c r="W49" s="81" t="s">
        <v>108</v>
      </c>
      <c r="X49" s="81" t="s">
        <v>109</v>
      </c>
      <c r="Y49" s="81" t="s">
        <v>110</v>
      </c>
      <c r="Z49" s="81" t="s">
        <v>111</v>
      </c>
      <c r="AA49" s="81" t="s">
        <v>112</v>
      </c>
      <c r="AB49" s="81" t="s">
        <v>113</v>
      </c>
      <c r="AC49" s="81" t="s">
        <v>114</v>
      </c>
      <c r="AD49" s="83" t="s">
        <v>115</v>
      </c>
      <c r="AE49" s="81" t="s">
        <v>116</v>
      </c>
      <c r="AF49" s="81" t="s">
        <v>117</v>
      </c>
      <c r="AG49" s="81" t="s">
        <v>118</v>
      </c>
      <c r="AH49" s="81" t="s">
        <v>119</v>
      </c>
      <c r="AI49" s="84" t="s">
        <v>120</v>
      </c>
      <c r="AJ49" s="81" t="s">
        <v>121</v>
      </c>
      <c r="AK49" s="81" t="s">
        <v>122</v>
      </c>
      <c r="AL49" s="81" t="s">
        <v>123</v>
      </c>
      <c r="AM49" s="81" t="s">
        <v>124</v>
      </c>
      <c r="AN49" s="81" t="s">
        <v>125</v>
      </c>
      <c r="AO49" s="81" t="s">
        <v>126</v>
      </c>
      <c r="AP49" s="81" t="s">
        <v>127</v>
      </c>
      <c r="AQ49" s="81" t="s">
        <v>128</v>
      </c>
      <c r="AR49" s="81" t="s">
        <v>129</v>
      </c>
      <c r="AS49" s="81" t="s">
        <v>130</v>
      </c>
      <c r="AT49" s="81" t="s">
        <v>131</v>
      </c>
      <c r="AU49" s="81" t="s">
        <v>132</v>
      </c>
      <c r="AV49" s="81" t="s">
        <v>133</v>
      </c>
      <c r="AW49" s="81" t="s">
        <v>134</v>
      </c>
      <c r="AX49" s="81" t="s">
        <v>135</v>
      </c>
      <c r="AY49" s="81" t="s">
        <v>136</v>
      </c>
      <c r="AZ49" s="81" t="s">
        <v>137</v>
      </c>
      <c r="BA49" s="81" t="s">
        <v>138</v>
      </c>
      <c r="BB49" s="81" t="s">
        <v>139</v>
      </c>
    </row>
    <row x14ac:dyDescent="0.25" r="50" customHeight="1" ht="15.6">
      <c r="A50" s="85">
        <f>SUM(C50:BB50)</f>
      </c>
      <c r="B50" s="86" t="s">
        <v>140</v>
      </c>
      <c r="C50" s="9">
        <v>287284</v>
      </c>
      <c r="D50" s="127">
        <v>777640</v>
      </c>
      <c r="E50" s="127">
        <v>1213378</v>
      </c>
      <c r="F50" s="127">
        <v>698312</v>
      </c>
      <c r="G50" s="127">
        <v>1776908</v>
      </c>
      <c r="H50" s="127">
        <v>1001876</v>
      </c>
      <c r="I50" s="127">
        <v>288332</v>
      </c>
      <c r="J50" s="127">
        <v>614417</v>
      </c>
      <c r="K50" s="127">
        <v>760267</v>
      </c>
      <c r="L50" s="127">
        <v>323789</v>
      </c>
      <c r="M50" s="127">
        <v>979795</v>
      </c>
      <c r="N50" s="127">
        <v>701882</v>
      </c>
      <c r="O50" s="127">
        <v>47499</v>
      </c>
      <c r="P50" s="8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167"/>
      <c r="AF50" s="3"/>
      <c r="AG50" s="3"/>
      <c r="AH50" s="127"/>
      <c r="AI50" s="3"/>
      <c r="AJ50" s="3"/>
      <c r="AK50" s="167"/>
      <c r="AL50" s="3"/>
      <c r="AM50" s="127"/>
      <c r="AN50" s="3"/>
      <c r="AO50" s="3"/>
      <c r="AP50" s="167"/>
      <c r="AQ50" s="3"/>
      <c r="AR50" s="3"/>
      <c r="AS50" s="3"/>
      <c r="AT50" s="3"/>
      <c r="AU50" s="3"/>
      <c r="AV50" s="3"/>
      <c r="AW50" s="127"/>
      <c r="AX50" s="3"/>
      <c r="AY50" s="3"/>
      <c r="AZ50" s="3"/>
      <c r="BA50" s="3"/>
      <c r="BB50" s="3"/>
    </row>
    <row x14ac:dyDescent="0.25" r="51" customHeight="1" ht="15.6">
      <c r="A51" s="95">
        <f>SUM(C51:CC51)</f>
      </c>
      <c r="B51" s="77" t="s">
        <v>141</v>
      </c>
      <c r="C51" s="159">
        <v>68929</v>
      </c>
      <c r="D51" s="168">
        <v>24573</v>
      </c>
      <c r="E51" s="168">
        <v>11899</v>
      </c>
      <c r="F51" s="168">
        <v>63152</v>
      </c>
      <c r="G51" s="168">
        <v>206178</v>
      </c>
      <c r="H51" s="168">
        <v>22931</v>
      </c>
      <c r="I51" s="168">
        <v>13438</v>
      </c>
      <c r="J51" s="168">
        <v>11152</v>
      </c>
      <c r="K51" s="168">
        <v>14606</v>
      </c>
      <c r="L51" s="168">
        <v>45030</v>
      </c>
      <c r="M51" s="168">
        <v>137720</v>
      </c>
      <c r="N51" s="168">
        <v>115591</v>
      </c>
      <c r="O51" s="168">
        <v>71293</v>
      </c>
      <c r="P51" s="159">
        <v>190368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169"/>
      <c r="AF51" s="3"/>
      <c r="AG51" s="3"/>
      <c r="AH51" s="168"/>
      <c r="AI51" s="3"/>
      <c r="AJ51" s="3"/>
      <c r="AK51" s="169"/>
      <c r="AL51" s="168"/>
      <c r="AM51" s="168"/>
      <c r="AN51" s="3"/>
      <c r="AO51" s="168"/>
      <c r="AP51" s="169"/>
      <c r="AQ51" s="168"/>
      <c r="AR51" s="168"/>
      <c r="AS51" s="168"/>
      <c r="AT51" s="168"/>
      <c r="AU51" s="168"/>
      <c r="AV51" s="168"/>
      <c r="AW51" s="168"/>
      <c r="AX51" s="3"/>
      <c r="AY51" s="3"/>
      <c r="AZ51" s="3"/>
      <c r="BA51" s="3"/>
      <c r="BB51" s="3"/>
    </row>
    <row x14ac:dyDescent="0.25" r="52" customHeight="1" ht="45.75">
      <c r="A52" s="170"/>
      <c r="B52" s="171"/>
      <c r="C52" s="172" t="s">
        <v>166</v>
      </c>
      <c r="D52" s="172" t="s">
        <v>167</v>
      </c>
      <c r="E52" s="173" t="s">
        <v>168</v>
      </c>
      <c r="F52" s="174" t="s">
        <v>169</v>
      </c>
      <c r="G52" s="174" t="s">
        <v>170</v>
      </c>
      <c r="H52" s="173" t="s">
        <v>171</v>
      </c>
      <c r="I52" s="173" t="s">
        <v>172</v>
      </c>
      <c r="J52" s="173" t="s">
        <v>173</v>
      </c>
      <c r="K52" s="173" t="s">
        <v>174</v>
      </c>
      <c r="L52" s="172" t="s">
        <v>175</v>
      </c>
      <c r="M52" s="172" t="s">
        <v>176</v>
      </c>
      <c r="N52" s="172" t="s">
        <v>177</v>
      </c>
      <c r="O52" s="173" t="s">
        <v>178</v>
      </c>
      <c r="P52" s="172" t="s">
        <v>179</v>
      </c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6"/>
      <c r="AB52" s="176"/>
      <c r="AC52" s="176"/>
      <c r="AD52" s="177"/>
      <c r="AE52" s="176"/>
      <c r="AF52" s="176"/>
      <c r="AG52" s="176"/>
      <c r="AH52" s="175"/>
      <c r="AI52" s="175"/>
      <c r="AJ52" s="175"/>
      <c r="AK52" s="178"/>
      <c r="AL52" s="175"/>
      <c r="AM52" s="175"/>
      <c r="AN52" s="175"/>
      <c r="AO52" s="175"/>
      <c r="AP52" s="175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  <c r="BA52" s="180"/>
      <c r="BB52" s="179"/>
    </row>
    <row x14ac:dyDescent="0.25" r="53" customHeight="1" ht="31.5">
      <c r="A53" s="181"/>
      <c r="B53" s="182"/>
      <c r="C53" s="172" t="s">
        <v>180</v>
      </c>
      <c r="D53" s="172" t="s">
        <v>181</v>
      </c>
      <c r="E53" s="173" t="s">
        <v>182</v>
      </c>
      <c r="F53" s="174" t="s">
        <v>183</v>
      </c>
      <c r="G53" s="174" t="s">
        <v>184</v>
      </c>
      <c r="H53" s="173" t="s">
        <v>185</v>
      </c>
      <c r="I53" s="173" t="s">
        <v>186</v>
      </c>
      <c r="J53" s="173" t="s">
        <v>187</v>
      </c>
      <c r="K53" s="173" t="s">
        <v>188</v>
      </c>
      <c r="L53" s="172" t="s">
        <v>189</v>
      </c>
      <c r="M53" s="172" t="s">
        <v>190</v>
      </c>
      <c r="N53" s="172" t="s">
        <v>191</v>
      </c>
      <c r="O53" s="173" t="s">
        <v>192</v>
      </c>
      <c r="P53" s="172" t="s">
        <v>193</v>
      </c>
      <c r="Q53" s="175"/>
      <c r="R53" s="175"/>
      <c r="S53" s="3"/>
      <c r="T53" s="175"/>
      <c r="U53" s="175"/>
      <c r="V53" s="175"/>
      <c r="W53" s="175"/>
      <c r="X53" s="175"/>
      <c r="Y53" s="175"/>
      <c r="Z53" s="175"/>
      <c r="AA53" s="176"/>
      <c r="AB53" s="176"/>
      <c r="AC53" s="176"/>
      <c r="AD53" s="177"/>
      <c r="AE53" s="176"/>
      <c r="AF53" s="176"/>
      <c r="AG53" s="176"/>
      <c r="AH53" s="175"/>
      <c r="AI53" s="175"/>
      <c r="AJ53" s="183"/>
      <c r="AK53" s="184"/>
      <c r="AL53" s="175"/>
      <c r="AM53" s="175"/>
      <c r="AN53" s="175"/>
      <c r="AO53" s="175"/>
      <c r="AP53" s="178"/>
      <c r="AQ53" s="179"/>
      <c r="AR53" s="179"/>
      <c r="AS53" s="179"/>
      <c r="AT53" s="179"/>
      <c r="AU53" s="179"/>
      <c r="AV53" s="179"/>
      <c r="AW53" s="179"/>
      <c r="AX53" s="179"/>
      <c r="AY53" s="179"/>
      <c r="AZ53" s="179"/>
      <c r="BA53" s="180"/>
      <c r="BB53" s="179"/>
    </row>
    <row x14ac:dyDescent="0.25" r="54" customHeight="1" ht="31.8">
      <c r="A54" s="3"/>
      <c r="B54" s="185"/>
      <c r="C54" s="172"/>
      <c r="D54" s="172" t="s">
        <v>194</v>
      </c>
      <c r="E54" s="173" t="s">
        <v>195</v>
      </c>
      <c r="F54" s="174" t="s">
        <v>196</v>
      </c>
      <c r="G54" s="174" t="s">
        <v>197</v>
      </c>
      <c r="H54" s="173" t="s">
        <v>198</v>
      </c>
      <c r="I54" s="173" t="s">
        <v>199</v>
      </c>
      <c r="J54" s="173" t="s">
        <v>200</v>
      </c>
      <c r="K54" s="173" t="s">
        <v>201</v>
      </c>
      <c r="L54" s="172" t="s">
        <v>202</v>
      </c>
      <c r="M54" s="172" t="s">
        <v>203</v>
      </c>
      <c r="N54" s="172" t="s">
        <v>204</v>
      </c>
      <c r="O54" s="173" t="s">
        <v>205</v>
      </c>
      <c r="P54" s="172" t="s">
        <v>206</v>
      </c>
      <c r="Q54" s="175"/>
      <c r="R54" s="176"/>
      <c r="S54" s="175"/>
      <c r="T54" s="175"/>
      <c r="U54" s="175"/>
      <c r="V54" s="175"/>
      <c r="W54" s="175"/>
      <c r="X54" s="175"/>
      <c r="Y54" s="175"/>
      <c r="Z54" s="175"/>
      <c r="AA54" s="176"/>
      <c r="AB54" s="176"/>
      <c r="AC54" s="176"/>
      <c r="AD54" s="177"/>
      <c r="AE54" s="176"/>
      <c r="AF54" s="176"/>
      <c r="AG54" s="176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86"/>
      <c r="AU54" s="30"/>
      <c r="AV54" s="186"/>
      <c r="AW54" s="186"/>
      <c r="AX54" s="186"/>
      <c r="AY54" s="186"/>
      <c r="AZ54" s="186"/>
      <c r="BA54" s="186"/>
      <c r="BB54" s="186"/>
    </row>
    <row x14ac:dyDescent="0.25" r="55" customHeight="1" ht="41.4">
      <c r="A55" s="3"/>
      <c r="B55" s="8"/>
      <c r="C55" s="172"/>
      <c r="D55" s="172" t="s">
        <v>207</v>
      </c>
      <c r="E55" s="173" t="s">
        <v>208</v>
      </c>
      <c r="F55" s="173" t="s">
        <v>209</v>
      </c>
      <c r="G55" s="173" t="s">
        <v>210</v>
      </c>
      <c r="H55" s="173" t="s">
        <v>211</v>
      </c>
      <c r="I55" s="173"/>
      <c r="J55" s="173" t="s">
        <v>185</v>
      </c>
      <c r="K55" s="187" t="s">
        <v>212</v>
      </c>
      <c r="L55" s="188" t="s">
        <v>213</v>
      </c>
      <c r="M55" s="188" t="s">
        <v>214</v>
      </c>
      <c r="N55" s="188" t="s">
        <v>215</v>
      </c>
      <c r="O55" s="173" t="s">
        <v>216</v>
      </c>
      <c r="P55" s="172" t="s">
        <v>217</v>
      </c>
      <c r="Q55" s="175"/>
      <c r="R55" s="189"/>
      <c r="S55" s="189"/>
      <c r="T55" s="175"/>
      <c r="U55" s="175"/>
      <c r="V55" s="175"/>
      <c r="W55" s="175"/>
      <c r="X55" s="176"/>
      <c r="Y55" s="176"/>
      <c r="Z55" s="175"/>
      <c r="AA55" s="176"/>
      <c r="AB55" s="176"/>
      <c r="AC55" s="175"/>
      <c r="AD55" s="177"/>
      <c r="AE55" s="176"/>
      <c r="AF55" s="176"/>
      <c r="AG55" s="176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86"/>
      <c r="AU55" s="30"/>
      <c r="AV55" s="186"/>
      <c r="AW55" s="186"/>
      <c r="AX55" s="186"/>
      <c r="AY55" s="186"/>
      <c r="AZ55" s="186"/>
      <c r="BA55" s="186"/>
      <c r="BB55" s="186"/>
    </row>
    <row x14ac:dyDescent="0.25" r="56" customHeight="1" ht="41.4">
      <c r="A56" s="3"/>
      <c r="B56" s="8"/>
      <c r="C56" s="172"/>
      <c r="D56" s="172" t="s">
        <v>218</v>
      </c>
      <c r="E56" s="173" t="s">
        <v>219</v>
      </c>
      <c r="F56" s="173" t="s">
        <v>220</v>
      </c>
      <c r="G56" s="173"/>
      <c r="H56" s="173" t="s">
        <v>221</v>
      </c>
      <c r="I56" s="173"/>
      <c r="J56" s="173" t="s">
        <v>222</v>
      </c>
      <c r="K56" s="187" t="s">
        <v>223</v>
      </c>
      <c r="L56" s="188" t="s">
        <v>224</v>
      </c>
      <c r="M56" s="188" t="s">
        <v>225</v>
      </c>
      <c r="N56" s="188" t="s">
        <v>226</v>
      </c>
      <c r="O56" s="173" t="s">
        <v>227</v>
      </c>
      <c r="P56" s="172" t="s">
        <v>228</v>
      </c>
      <c r="Q56" s="175"/>
      <c r="R56" s="189"/>
      <c r="S56" s="175"/>
      <c r="T56" s="175"/>
      <c r="U56" s="175"/>
      <c r="V56" s="175"/>
      <c r="W56" s="189"/>
      <c r="X56" s="175"/>
      <c r="Y56" s="175"/>
      <c r="Z56" s="176"/>
      <c r="AA56" s="176"/>
      <c r="AB56" s="176"/>
      <c r="AC56" s="175"/>
      <c r="AD56" s="177"/>
      <c r="AE56" s="176"/>
      <c r="AF56" s="176"/>
      <c r="AG56" s="176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86"/>
      <c r="AU56" s="30"/>
      <c r="AV56" s="186"/>
      <c r="AW56" s="186"/>
      <c r="AX56" s="186"/>
      <c r="AY56" s="186"/>
      <c r="AZ56" s="186"/>
      <c r="BA56" s="186"/>
      <c r="BB56" s="186"/>
    </row>
    <row x14ac:dyDescent="0.25" r="57" customHeight="1" ht="31.5">
      <c r="A57" s="3"/>
      <c r="B57" s="8"/>
      <c r="C57" s="172"/>
      <c r="D57" s="172" t="s">
        <v>229</v>
      </c>
      <c r="E57" s="173" t="s">
        <v>230</v>
      </c>
      <c r="F57" s="187" t="s">
        <v>231</v>
      </c>
      <c r="G57" s="173"/>
      <c r="H57" s="173" t="s">
        <v>232</v>
      </c>
      <c r="I57" s="173"/>
      <c r="J57" s="173" t="s">
        <v>233</v>
      </c>
      <c r="K57" s="187" t="s">
        <v>234</v>
      </c>
      <c r="L57" s="188" t="s">
        <v>185</v>
      </c>
      <c r="M57" s="188" t="s">
        <v>235</v>
      </c>
      <c r="N57" s="188" t="s">
        <v>236</v>
      </c>
      <c r="O57" s="173" t="s">
        <v>237</v>
      </c>
      <c r="P57" s="190" t="s">
        <v>238</v>
      </c>
      <c r="Q57" s="175"/>
      <c r="R57" s="175"/>
      <c r="S57" s="175"/>
      <c r="T57" s="175"/>
      <c r="U57" s="189"/>
      <c r="V57" s="175"/>
      <c r="W57" s="175"/>
      <c r="X57" s="176"/>
      <c r="Y57" s="189"/>
      <c r="Z57" s="176"/>
      <c r="AA57" s="176"/>
      <c r="AB57" s="176"/>
      <c r="AC57" s="3"/>
      <c r="AD57" s="191"/>
      <c r="AE57" s="176"/>
      <c r="AF57" s="175"/>
      <c r="AG57" s="176"/>
      <c r="AH57" s="175"/>
      <c r="AI57" s="175"/>
      <c r="AJ57" s="175"/>
      <c r="AK57" s="175"/>
      <c r="AL57" s="176"/>
      <c r="AM57" s="175"/>
      <c r="AN57" s="175"/>
      <c r="AO57" s="175"/>
      <c r="AP57" s="175"/>
      <c r="AQ57" s="175"/>
      <c r="AR57" s="175"/>
      <c r="AS57" s="175"/>
      <c r="AT57" s="186"/>
      <c r="AU57" s="30"/>
      <c r="AV57" s="186"/>
      <c r="AW57" s="186"/>
      <c r="AX57" s="186"/>
      <c r="AY57" s="186"/>
      <c r="AZ57" s="186"/>
      <c r="BA57" s="186"/>
      <c r="BB57" s="186"/>
    </row>
    <row x14ac:dyDescent="0.25" r="58" customHeight="1" ht="31.5">
      <c r="A58" s="3"/>
      <c r="B58" s="8"/>
      <c r="C58" s="172"/>
      <c r="D58" s="172" t="s">
        <v>239</v>
      </c>
      <c r="E58" s="173" t="s">
        <v>240</v>
      </c>
      <c r="F58" s="187" t="s">
        <v>241</v>
      </c>
      <c r="G58" s="74"/>
      <c r="H58" s="173" t="s">
        <v>242</v>
      </c>
      <c r="I58" s="173"/>
      <c r="J58" s="173" t="s">
        <v>243</v>
      </c>
      <c r="K58" s="187" t="s">
        <v>244</v>
      </c>
      <c r="L58" s="188" t="s">
        <v>245</v>
      </c>
      <c r="M58" s="188" t="s">
        <v>246</v>
      </c>
      <c r="N58" s="188" t="s">
        <v>247</v>
      </c>
      <c r="O58" s="173" t="s">
        <v>248</v>
      </c>
      <c r="P58" s="190" t="s">
        <v>249</v>
      </c>
      <c r="Q58" s="175"/>
      <c r="R58" s="175"/>
      <c r="S58" s="175"/>
      <c r="T58" s="175"/>
      <c r="U58" s="175"/>
      <c r="V58" s="175"/>
      <c r="W58" s="175"/>
      <c r="X58" s="189"/>
      <c r="Y58" s="175"/>
      <c r="Z58" s="189"/>
      <c r="AA58" s="176"/>
      <c r="AB58" s="189"/>
      <c r="AC58" s="175"/>
      <c r="AD58" s="191"/>
      <c r="AE58" s="189"/>
      <c r="AF58" s="175"/>
      <c r="AG58" s="176"/>
      <c r="AH58" s="189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86"/>
      <c r="AU58" s="30"/>
      <c r="AV58" s="186"/>
      <c r="AW58" s="186"/>
      <c r="AX58" s="186"/>
      <c r="AY58" s="186"/>
      <c r="AZ58" s="186"/>
      <c r="BA58" s="186"/>
      <c r="BB58" s="186"/>
    </row>
    <row x14ac:dyDescent="0.25" r="59" customHeight="1" ht="21.600000000000005">
      <c r="A59" s="3"/>
      <c r="B59" s="8"/>
      <c r="C59" s="73"/>
      <c r="D59" s="8"/>
      <c r="E59" s="173" t="s">
        <v>185</v>
      </c>
      <c r="F59" s="187" t="s">
        <v>250</v>
      </c>
      <c r="G59" s="74"/>
      <c r="H59" s="173"/>
      <c r="I59" s="173"/>
      <c r="J59" s="173" t="s">
        <v>243</v>
      </c>
      <c r="K59" s="187"/>
      <c r="L59" s="188" t="s">
        <v>251</v>
      </c>
      <c r="M59" s="188" t="s">
        <v>252</v>
      </c>
      <c r="N59" s="188" t="s">
        <v>247</v>
      </c>
      <c r="O59" s="173" t="s">
        <v>253</v>
      </c>
      <c r="P59" s="172" t="s">
        <v>254</v>
      </c>
      <c r="Q59" s="175"/>
      <c r="R59" s="175"/>
      <c r="S59" s="175"/>
      <c r="T59" s="175"/>
      <c r="U59" s="175"/>
      <c r="V59" s="175"/>
      <c r="W59" s="189"/>
      <c r="X59" s="175"/>
      <c r="Y59" s="175"/>
      <c r="Z59" s="176"/>
      <c r="AA59" s="176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86"/>
      <c r="AU59" s="30"/>
      <c r="AV59" s="186"/>
      <c r="AW59" s="186"/>
      <c r="AX59" s="186"/>
      <c r="AY59" s="186"/>
      <c r="AZ59" s="186"/>
      <c r="BA59" s="186"/>
      <c r="BB59" s="186"/>
    </row>
    <row x14ac:dyDescent="0.25" r="60" customHeight="1" ht="31.8">
      <c r="A60" s="3"/>
      <c r="B60" s="8"/>
      <c r="C60" s="73"/>
      <c r="D60" s="8"/>
      <c r="E60" s="173" t="s">
        <v>255</v>
      </c>
      <c r="F60" s="187"/>
      <c r="G60" s="74"/>
      <c r="H60" s="173"/>
      <c r="I60" s="173"/>
      <c r="J60" s="173"/>
      <c r="K60" s="187"/>
      <c r="L60" s="192" t="s">
        <v>256</v>
      </c>
      <c r="M60" s="188" t="s">
        <v>257</v>
      </c>
      <c r="N60" s="188"/>
      <c r="O60" s="173" t="s">
        <v>258</v>
      </c>
      <c r="P60" s="172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6"/>
      <c r="AB60" s="175"/>
      <c r="AC60" s="189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86"/>
      <c r="AU60" s="30"/>
      <c r="AV60" s="186"/>
      <c r="AW60" s="186"/>
      <c r="AX60" s="186"/>
      <c r="AY60" s="186"/>
      <c r="AZ60" s="186"/>
      <c r="BA60" s="186"/>
      <c r="BB60" s="186"/>
    </row>
    <row x14ac:dyDescent="0.25" r="61" customHeight="1" ht="31.5">
      <c r="A61" s="3"/>
      <c r="B61" s="8"/>
      <c r="C61" s="73"/>
      <c r="D61" s="8"/>
      <c r="E61" s="74"/>
      <c r="F61" s="187"/>
      <c r="G61" s="74"/>
      <c r="H61" s="173"/>
      <c r="I61" s="173"/>
      <c r="J61" s="173"/>
      <c r="K61" s="187"/>
      <c r="L61" s="188" t="s">
        <v>259</v>
      </c>
      <c r="M61" s="188" t="s">
        <v>260</v>
      </c>
      <c r="N61" s="188"/>
      <c r="O61" s="173"/>
      <c r="P61" s="172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3"/>
      <c r="AI61" s="175"/>
      <c r="AJ61" s="175"/>
      <c r="AK61" s="175"/>
      <c r="AL61" s="175"/>
      <c r="AM61" s="189"/>
      <c r="AN61" s="175"/>
      <c r="AO61" s="175"/>
      <c r="AP61" s="175"/>
      <c r="AQ61" s="175"/>
      <c r="AR61" s="175"/>
      <c r="AS61" s="175"/>
      <c r="AT61" s="186"/>
      <c r="AU61" s="30"/>
      <c r="AV61" s="186"/>
      <c r="AW61" s="186"/>
      <c r="AX61" s="186"/>
      <c r="AY61" s="186"/>
      <c r="AZ61" s="186"/>
      <c r="BA61" s="186"/>
      <c r="BB61" s="186"/>
    </row>
    <row x14ac:dyDescent="0.25" r="62" customHeight="1" ht="21.600000000000005">
      <c r="A62" s="3"/>
      <c r="B62" s="8"/>
      <c r="C62" s="73"/>
      <c r="D62" s="8"/>
      <c r="E62" s="74"/>
      <c r="F62" s="187"/>
      <c r="G62" s="193"/>
      <c r="H62" s="74"/>
      <c r="I62" s="173"/>
      <c r="J62" s="173"/>
      <c r="K62" s="173"/>
      <c r="L62" s="194"/>
      <c r="M62" s="172" t="s">
        <v>261</v>
      </c>
      <c r="N62" s="172"/>
      <c r="O62" s="173"/>
      <c r="P62" s="172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3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86"/>
      <c r="AU62" s="30"/>
      <c r="AV62" s="186"/>
      <c r="AW62" s="186"/>
      <c r="AX62" s="186"/>
      <c r="AY62" s="186"/>
      <c r="AZ62" s="186"/>
      <c r="BA62" s="186"/>
      <c r="BB62" s="186"/>
    </row>
    <row x14ac:dyDescent="0.25" r="63" customHeight="1" ht="31.5">
      <c r="A63" s="195" t="s">
        <v>262</v>
      </c>
      <c r="B63" s="8"/>
      <c r="C63" s="73"/>
      <c r="D63" s="8"/>
      <c r="E63" s="74"/>
      <c r="F63" s="74"/>
      <c r="G63" s="74"/>
      <c r="H63" s="173"/>
      <c r="I63" s="173"/>
      <c r="J63" s="74"/>
      <c r="K63" s="74"/>
      <c r="L63" s="8"/>
      <c r="M63" s="172" t="s">
        <v>263</v>
      </c>
      <c r="N63" s="172"/>
      <c r="O63" s="173"/>
      <c r="P63" s="172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3"/>
      <c r="AD63" s="189"/>
      <c r="AE63" s="175"/>
      <c r="AF63" s="175"/>
      <c r="AG63" s="175"/>
      <c r="AH63" s="3"/>
      <c r="AI63" s="175"/>
      <c r="AJ63" s="175"/>
      <c r="AK63" s="175"/>
      <c r="AL63" s="175"/>
      <c r="AM63" s="189"/>
      <c r="AN63" s="175"/>
      <c r="AO63" s="175"/>
      <c r="AP63" s="175"/>
      <c r="AQ63" s="175"/>
      <c r="AR63" s="175"/>
      <c r="AS63" s="175"/>
      <c r="AT63" s="186"/>
      <c r="AU63" s="3"/>
      <c r="AV63" s="186"/>
      <c r="AW63" s="186"/>
      <c r="AX63" s="186"/>
      <c r="AY63" s="186"/>
      <c r="AZ63" s="186"/>
      <c r="BA63" s="186"/>
      <c r="BB63" s="186"/>
    </row>
    <row x14ac:dyDescent="0.25" r="64" customHeight="1" ht="19.5">
      <c r="A64" s="3" t="s">
        <v>264</v>
      </c>
      <c r="B64" s="196" t="s">
        <v>265</v>
      </c>
      <c r="C64" s="9"/>
      <c r="D64" s="8"/>
      <c r="E64" s="74"/>
      <c r="F64" s="74"/>
      <c r="G64" s="74"/>
      <c r="H64" s="74"/>
      <c r="I64" s="74"/>
      <c r="J64" s="74"/>
      <c r="K64" s="9"/>
      <c r="L64" s="8"/>
      <c r="M64" s="172"/>
      <c r="N64" s="172"/>
      <c r="O64" s="173"/>
      <c r="P64" s="172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3"/>
      <c r="AD64" s="175"/>
      <c r="AE64" s="175"/>
      <c r="AF64" s="175"/>
      <c r="AG64" s="175"/>
      <c r="AH64" s="3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86"/>
      <c r="AU64" s="3"/>
      <c r="AV64" s="186"/>
      <c r="AW64" s="186"/>
      <c r="AX64" s="186"/>
      <c r="AY64" s="186"/>
      <c r="AZ64" s="186"/>
      <c r="BA64" s="186"/>
      <c r="BB64" s="186"/>
    </row>
    <row x14ac:dyDescent="0.25" r="65" customHeight="1" ht="19.5">
      <c r="A65" s="3" t="s">
        <v>266</v>
      </c>
      <c r="B65" s="196" t="s">
        <v>267</v>
      </c>
      <c r="C65" s="196" t="s">
        <v>268</v>
      </c>
      <c r="D65" s="8"/>
      <c r="E65" s="9"/>
      <c r="F65" s="9"/>
      <c r="G65" s="9"/>
      <c r="H65" s="9"/>
      <c r="I65" s="9"/>
      <c r="J65" s="9"/>
      <c r="K65" s="9"/>
      <c r="L65" s="8"/>
      <c r="M65" s="172"/>
      <c r="N65" s="172"/>
      <c r="O65" s="173"/>
      <c r="P65" s="172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97"/>
      <c r="AD65" s="175"/>
      <c r="AE65" s="175"/>
      <c r="AF65" s="175"/>
      <c r="AG65" s="175"/>
      <c r="AH65" s="3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86"/>
      <c r="AU65" s="3"/>
      <c r="AV65" s="186"/>
      <c r="AW65" s="186"/>
      <c r="AX65" s="186"/>
      <c r="AY65" s="186"/>
      <c r="AZ65" s="186"/>
      <c r="BA65" s="186"/>
      <c r="BB65" s="186"/>
    </row>
    <row x14ac:dyDescent="0.25" r="66" customHeight="1" ht="19.5">
      <c r="A66" s="198" t="s">
        <v>269</v>
      </c>
      <c r="B66" s="9">
        <v>6841.650000000001</v>
      </c>
      <c r="C66" s="9">
        <v>5701.800000000001</v>
      </c>
      <c r="D66" s="8"/>
      <c r="E66" s="9"/>
      <c r="F66" s="9"/>
      <c r="G66" s="9"/>
      <c r="H66" s="9"/>
      <c r="I66" s="9"/>
      <c r="J66" s="9"/>
      <c r="K66" s="9"/>
      <c r="L66" s="8"/>
      <c r="M66" s="8"/>
      <c r="N66" s="8"/>
      <c r="O66" s="74"/>
      <c r="P66" s="8"/>
      <c r="Q66" s="3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3"/>
      <c r="AD66" s="189"/>
      <c r="AE66" s="189"/>
      <c r="AF66" s="189"/>
      <c r="AG66" s="189"/>
      <c r="AH66" s="3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99"/>
      <c r="AU66" s="3"/>
      <c r="AV66" s="199"/>
      <c r="AW66" s="199"/>
      <c r="AX66" s="199"/>
      <c r="AY66" s="199"/>
      <c r="AZ66" s="199"/>
      <c r="BA66" s="199"/>
      <c r="BB66" s="199"/>
    </row>
    <row x14ac:dyDescent="0.25" r="67" customHeight="1" ht="19.5">
      <c r="A67" s="198" t="s">
        <v>270</v>
      </c>
      <c r="B67" s="9">
        <v>7725</v>
      </c>
      <c r="C67" s="9">
        <v>3190</v>
      </c>
      <c r="D67" s="8"/>
      <c r="E67" s="9"/>
      <c r="F67" s="9"/>
      <c r="G67" s="9"/>
      <c r="H67" s="9"/>
      <c r="I67" s="9"/>
      <c r="J67" s="9"/>
      <c r="K67" s="9"/>
      <c r="L67" s="8"/>
      <c r="M67" s="172"/>
      <c r="N67" s="172"/>
      <c r="O67" s="173"/>
      <c r="P67" s="172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3"/>
      <c r="AD67" s="175"/>
      <c r="AE67" s="175"/>
      <c r="AF67" s="175"/>
      <c r="AG67" s="175"/>
      <c r="AH67" s="3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86"/>
      <c r="AU67" s="3"/>
      <c r="AV67" s="186"/>
      <c r="AW67" s="186"/>
      <c r="AX67" s="186"/>
      <c r="AY67" s="186"/>
      <c r="AZ67" s="186"/>
      <c r="BA67" s="186"/>
      <c r="BB67" s="186"/>
    </row>
    <row x14ac:dyDescent="0.25" r="68" customHeight="1" ht="19.5">
      <c r="A68" s="198" t="s">
        <v>271</v>
      </c>
      <c r="B68" s="9">
        <v>7080</v>
      </c>
      <c r="C68" s="9">
        <v>20947.6</v>
      </c>
      <c r="D68" s="8"/>
      <c r="E68" s="9"/>
      <c r="F68" s="9"/>
      <c r="G68" s="9"/>
      <c r="H68" s="9"/>
      <c r="I68" s="9"/>
      <c r="J68" s="9"/>
      <c r="K68" s="9"/>
      <c r="L68" s="8"/>
      <c r="M68" s="172"/>
      <c r="N68" s="172"/>
      <c r="O68" s="173"/>
      <c r="P68" s="172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3"/>
      <c r="AD68" s="175"/>
      <c r="AE68" s="175"/>
      <c r="AF68" s="175"/>
      <c r="AG68" s="175"/>
      <c r="AH68" s="3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86"/>
      <c r="AU68" s="3"/>
      <c r="AV68" s="3"/>
      <c r="AW68" s="3"/>
      <c r="AX68" s="3"/>
      <c r="AY68" s="3"/>
      <c r="AZ68" s="3"/>
      <c r="BA68" s="3"/>
      <c r="BB68" s="3"/>
    </row>
    <row x14ac:dyDescent="0.25" r="69" customHeight="1" ht="19.5">
      <c r="A69" s="198" t="s">
        <v>272</v>
      </c>
      <c r="B69" s="9">
        <v>10972</v>
      </c>
      <c r="C69" s="9">
        <v>4179</v>
      </c>
      <c r="D69" s="8"/>
      <c r="E69" s="9"/>
      <c r="F69" s="9"/>
      <c r="G69" s="9"/>
      <c r="H69" s="9"/>
      <c r="I69" s="9"/>
      <c r="J69" s="9"/>
      <c r="K69" s="9"/>
      <c r="L69" s="8"/>
      <c r="M69" s="8"/>
      <c r="N69" s="8"/>
      <c r="O69" s="74"/>
      <c r="P69" s="8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186"/>
      <c r="AU69" s="3"/>
      <c r="AV69" s="3"/>
      <c r="AW69" s="3"/>
      <c r="AX69" s="3"/>
      <c r="AY69" s="3"/>
      <c r="AZ69" s="3"/>
      <c r="BA69" s="3"/>
      <c r="BB69" s="3"/>
    </row>
    <row x14ac:dyDescent="0.25" r="70" customHeight="1" ht="19.5">
      <c r="A70" s="198" t="s">
        <v>273</v>
      </c>
      <c r="B70" s="9">
        <v>437</v>
      </c>
      <c r="C70" s="9">
        <v>8941.55</v>
      </c>
      <c r="D70" s="8"/>
      <c r="E70" s="9"/>
      <c r="F70" s="9"/>
      <c r="G70" s="9"/>
      <c r="H70" s="9"/>
      <c r="I70" s="9"/>
      <c r="J70" s="9"/>
      <c r="K70" s="9"/>
      <c r="L70" s="8"/>
      <c r="M70" s="8"/>
      <c r="N70" s="8"/>
      <c r="O70" s="74"/>
      <c r="P70" s="8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186"/>
      <c r="AU70" s="3"/>
      <c r="AV70" s="3"/>
      <c r="AW70" s="3"/>
      <c r="AX70" s="3"/>
      <c r="AY70" s="3"/>
      <c r="AZ70" s="3"/>
      <c r="BA70" s="3"/>
      <c r="BB70" s="3"/>
    </row>
    <row x14ac:dyDescent="0.25" r="71" customHeight="1" ht="19.5">
      <c r="A71" s="198" t="s">
        <v>274</v>
      </c>
      <c r="B71" s="9"/>
      <c r="C71" s="9">
        <v>62251</v>
      </c>
      <c r="D71" s="8"/>
      <c r="E71" s="9"/>
      <c r="F71" s="9"/>
      <c r="G71" s="9"/>
      <c r="H71" s="9"/>
      <c r="I71" s="9"/>
      <c r="J71" s="9"/>
      <c r="K71" s="9"/>
      <c r="L71" s="8"/>
      <c r="M71" s="8"/>
      <c r="N71" s="8"/>
      <c r="O71" s="74"/>
      <c r="P71" s="8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186"/>
      <c r="AU71" s="3"/>
      <c r="AV71" s="3"/>
      <c r="AW71" s="3"/>
      <c r="AX71" s="3"/>
      <c r="AY71" s="3"/>
      <c r="AZ71" s="3"/>
      <c r="BA71" s="3"/>
      <c r="BB71" s="3"/>
    </row>
    <row x14ac:dyDescent="0.25" r="72" customHeight="1" ht="19.5">
      <c r="A72" s="198" t="s">
        <v>275</v>
      </c>
      <c r="B72" s="9">
        <v>18241</v>
      </c>
      <c r="C72" s="9"/>
      <c r="D72" s="8"/>
      <c r="E72" s="9"/>
      <c r="F72" s="9"/>
      <c r="G72" s="9"/>
      <c r="H72" s="9"/>
      <c r="I72" s="9"/>
      <c r="J72" s="9"/>
      <c r="K72" s="9"/>
      <c r="L72" s="8"/>
      <c r="M72" s="8"/>
      <c r="N72" s="8"/>
      <c r="O72" s="74"/>
      <c r="P72" s="8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186"/>
      <c r="AU72" s="3"/>
      <c r="AV72" s="3"/>
      <c r="AW72" s="3"/>
      <c r="AX72" s="3"/>
      <c r="AY72" s="3"/>
      <c r="AZ72" s="3"/>
      <c r="BA72" s="3"/>
      <c r="BB72" s="3"/>
    </row>
    <row x14ac:dyDescent="0.25" r="73" customHeight="1" ht="19.5">
      <c r="A73" s="198" t="s">
        <v>276</v>
      </c>
      <c r="B73" s="9">
        <v>0</v>
      </c>
      <c r="C73" s="9">
        <v>32943</v>
      </c>
      <c r="D73" s="8"/>
      <c r="E73" s="9"/>
      <c r="F73" s="9"/>
      <c r="G73" s="9"/>
      <c r="H73" s="9"/>
      <c r="I73" s="9"/>
      <c r="J73" s="9"/>
      <c r="K73" s="9"/>
      <c r="L73" s="8"/>
      <c r="M73" s="8"/>
      <c r="N73" s="8"/>
      <c r="O73" s="74"/>
      <c r="P73" s="8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186"/>
      <c r="AU73" s="3"/>
      <c r="AV73" s="3"/>
      <c r="AW73" s="3"/>
      <c r="AX73" s="3"/>
      <c r="AY73" s="3"/>
      <c r="AZ73" s="3"/>
      <c r="BA73" s="3"/>
      <c r="BB73" s="3"/>
    </row>
    <row x14ac:dyDescent="0.25" r="74" customHeight="1" ht="19.5">
      <c r="A74" s="198" t="s">
        <v>277</v>
      </c>
      <c r="B74" s="9">
        <v>642</v>
      </c>
      <c r="C74" s="9">
        <v>51600</v>
      </c>
      <c r="D74" s="8"/>
      <c r="E74" s="9"/>
      <c r="F74" s="9"/>
      <c r="G74" s="9"/>
      <c r="H74" s="9"/>
      <c r="I74" s="9"/>
      <c r="J74" s="9"/>
      <c r="K74" s="9"/>
      <c r="L74" s="8"/>
      <c r="M74" s="8"/>
      <c r="N74" s="8"/>
      <c r="O74" s="74"/>
      <c r="P74" s="8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186"/>
      <c r="AU74" s="3"/>
      <c r="AV74" s="3"/>
      <c r="AW74" s="3"/>
      <c r="AX74" s="3"/>
      <c r="AY74" s="3"/>
      <c r="AZ74" s="3"/>
      <c r="BA74" s="3"/>
      <c r="BB74" s="3"/>
    </row>
    <row x14ac:dyDescent="0.25" r="75" customHeight="1" ht="19.5">
      <c r="A75" s="198" t="s">
        <v>278</v>
      </c>
      <c r="B75" s="9"/>
      <c r="C75" s="9">
        <v>9211.68</v>
      </c>
      <c r="D75" s="8"/>
      <c r="E75" s="9"/>
      <c r="F75" s="9"/>
      <c r="G75" s="9"/>
      <c r="H75" s="9"/>
      <c r="I75" s="9"/>
      <c r="J75" s="9"/>
      <c r="K75" s="9"/>
      <c r="L75" s="8"/>
      <c r="M75" s="8"/>
      <c r="N75" s="8"/>
      <c r="O75" s="74"/>
      <c r="P75" s="8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x14ac:dyDescent="0.25" r="76" customHeight="1" ht="19.5">
      <c r="A76" s="198"/>
      <c r="B76" s="9"/>
      <c r="C76" s="9"/>
      <c r="D76" s="9"/>
      <c r="E76" s="9"/>
      <c r="F76" s="9"/>
      <c r="G76" s="9"/>
      <c r="H76" s="9"/>
      <c r="I76" s="9"/>
      <c r="J76" s="9"/>
      <c r="K76" s="74"/>
      <c r="L76" s="8"/>
      <c r="M76" s="8"/>
      <c r="N76" s="8"/>
      <c r="O76" s="74"/>
      <c r="P76" s="8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x14ac:dyDescent="0.25" r="77" customHeight="1" ht="19.5">
      <c r="A77" s="3"/>
      <c r="B77" s="8"/>
      <c r="C77" s="73"/>
      <c r="D77" s="8"/>
      <c r="E77" s="74"/>
      <c r="F77" s="74"/>
      <c r="G77" s="74"/>
      <c r="H77" s="74"/>
      <c r="I77" s="74"/>
      <c r="J77" s="74"/>
      <c r="K77" s="74"/>
      <c r="L77" s="8"/>
      <c r="M77" s="8"/>
      <c r="N77" s="8"/>
      <c r="O77" s="74"/>
      <c r="P77" s="8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x14ac:dyDescent="0.25" r="78" customHeight="1" ht="19.5">
      <c r="A78" s="3"/>
      <c r="B78" s="8"/>
      <c r="C78" s="73"/>
      <c r="D78" s="8"/>
      <c r="E78" s="74"/>
      <c r="F78" s="74"/>
      <c r="G78" s="74"/>
      <c r="H78" s="74"/>
      <c r="I78" s="74"/>
      <c r="J78" s="74"/>
      <c r="K78" s="74"/>
      <c r="L78" s="8"/>
      <c r="M78" s="8"/>
      <c r="N78" s="8"/>
      <c r="O78" s="74"/>
      <c r="P78" s="8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x14ac:dyDescent="0.25" r="79" customHeight="1" ht="19.5">
      <c r="A79" s="3"/>
      <c r="B79" s="8"/>
      <c r="C79" s="73"/>
      <c r="D79" s="8"/>
      <c r="E79" s="74"/>
      <c r="F79" s="74"/>
      <c r="G79" s="74"/>
      <c r="H79" s="74"/>
      <c r="I79" s="74"/>
      <c r="J79" s="74"/>
      <c r="K79" s="74"/>
      <c r="L79" s="8"/>
      <c r="M79" s="8"/>
      <c r="N79" s="8"/>
      <c r="O79" s="74"/>
      <c r="P79" s="8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x14ac:dyDescent="0.25" r="80" customHeight="1" ht="19.5">
      <c r="A80" s="3"/>
      <c r="B80" s="8"/>
      <c r="C80" s="73"/>
      <c r="D80" s="8"/>
      <c r="E80" s="74"/>
      <c r="F80" s="74"/>
      <c r="G80" s="74"/>
      <c r="H80" s="74"/>
      <c r="I80" s="74"/>
      <c r="J80" s="74"/>
      <c r="K80" s="74"/>
      <c r="L80" s="8"/>
      <c r="M80" s="8"/>
      <c r="N80" s="8"/>
      <c r="O80" s="74"/>
      <c r="P80" s="8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x14ac:dyDescent="0.25" r="81" customHeight="1" ht="19.5">
      <c r="A81" s="3"/>
      <c r="B81" s="8"/>
      <c r="C81" s="73"/>
      <c r="D81" s="8"/>
      <c r="E81" s="74"/>
      <c r="F81" s="74"/>
      <c r="G81" s="74"/>
      <c r="H81" s="74"/>
      <c r="I81" s="74"/>
      <c r="J81" s="74"/>
      <c r="K81" s="74"/>
      <c r="L81" s="8"/>
      <c r="M81" s="8"/>
      <c r="N81" s="8"/>
      <c r="O81" s="74"/>
      <c r="P81" s="8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x14ac:dyDescent="0.25" r="82" customHeight="1" ht="19.5">
      <c r="A82" s="3"/>
      <c r="B82" s="8"/>
      <c r="C82" s="73"/>
      <c r="D82" s="8"/>
      <c r="E82" s="74"/>
      <c r="F82" s="74"/>
      <c r="G82" s="74"/>
      <c r="H82" s="74"/>
      <c r="I82" s="74"/>
      <c r="J82" s="74"/>
      <c r="K82" s="74"/>
      <c r="L82" s="8"/>
      <c r="M82" s="8"/>
      <c r="N82" s="8"/>
      <c r="O82" s="74"/>
      <c r="P82" s="8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x14ac:dyDescent="0.25" r="83" customHeight="1" ht="19.5">
      <c r="A83" s="3"/>
      <c r="B83" s="8"/>
      <c r="C83" s="73"/>
      <c r="D83" s="8"/>
      <c r="E83" s="74"/>
      <c r="F83" s="74"/>
      <c r="G83" s="74"/>
      <c r="H83" s="74"/>
      <c r="I83" s="74"/>
      <c r="J83" s="74"/>
      <c r="K83" s="74"/>
      <c r="L83" s="8"/>
      <c r="M83" s="8"/>
      <c r="N83" s="8"/>
      <c r="O83" s="74"/>
      <c r="P83" s="8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x14ac:dyDescent="0.25" r="84" customHeight="1" ht="19.5">
      <c r="A84" s="3"/>
      <c r="B84" s="8"/>
      <c r="C84" s="73"/>
      <c r="D84" s="8"/>
      <c r="E84" s="74"/>
      <c r="F84" s="74"/>
      <c r="G84" s="74"/>
      <c r="H84" s="74"/>
      <c r="I84" s="74"/>
      <c r="J84" s="74"/>
      <c r="K84" s="74"/>
      <c r="L84" s="8"/>
      <c r="M84" s="8"/>
      <c r="N84" s="8"/>
      <c r="O84" s="74"/>
      <c r="P84" s="8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x14ac:dyDescent="0.25" r="85" customHeight="1" ht="19.5">
      <c r="A85" s="3"/>
      <c r="B85" s="8"/>
      <c r="C85" s="73"/>
      <c r="D85" s="8"/>
      <c r="E85" s="74"/>
      <c r="F85" s="74"/>
      <c r="G85" s="74"/>
      <c r="H85" s="74"/>
      <c r="I85" s="74"/>
      <c r="J85" s="74"/>
      <c r="K85" s="74"/>
      <c r="L85" s="8"/>
      <c r="M85" s="8"/>
      <c r="N85" s="8"/>
      <c r="O85" s="74"/>
      <c r="P85" s="8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x14ac:dyDescent="0.25" r="86" customHeight="1" ht="19.5">
      <c r="A86" s="3"/>
      <c r="B86" s="8"/>
      <c r="C86" s="73"/>
      <c r="D86" s="8"/>
      <c r="E86" s="74"/>
      <c r="F86" s="74"/>
      <c r="G86" s="74"/>
      <c r="H86" s="74"/>
      <c r="I86" s="74"/>
      <c r="J86" s="74"/>
      <c r="K86" s="74"/>
      <c r="L86" s="8"/>
      <c r="M86" s="8"/>
      <c r="N86" s="8"/>
      <c r="O86" s="74"/>
      <c r="P86" s="8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x14ac:dyDescent="0.25" r="87" customHeight="1" ht="19.5">
      <c r="A87" s="3"/>
      <c r="B87" s="8"/>
      <c r="C87" s="73"/>
      <c r="D87" s="8"/>
      <c r="E87" s="74"/>
      <c r="F87" s="74"/>
      <c r="G87" s="74"/>
      <c r="H87" s="74"/>
      <c r="I87" s="74"/>
      <c r="J87" s="74"/>
      <c r="K87" s="74"/>
      <c r="L87" s="8"/>
      <c r="M87" s="8"/>
      <c r="N87" s="8"/>
      <c r="O87" s="74"/>
      <c r="P87" s="8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x14ac:dyDescent="0.25" r="88" customHeight="1" ht="19.5">
      <c r="A88" s="3"/>
      <c r="B88" s="8"/>
      <c r="C88" s="73"/>
      <c r="D88" s="8"/>
      <c r="E88" s="74"/>
      <c r="F88" s="74"/>
      <c r="G88" s="74"/>
      <c r="H88" s="74"/>
      <c r="I88" s="74"/>
      <c r="J88" s="74"/>
      <c r="K88" s="74"/>
      <c r="L88" s="8"/>
      <c r="M88" s="8"/>
      <c r="N88" s="8"/>
      <c r="O88" s="74"/>
      <c r="P88" s="8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  <row x14ac:dyDescent="0.25" r="89" customHeight="1" ht="19.5">
      <c r="A89" s="3"/>
      <c r="B89" s="8"/>
      <c r="C89" s="73"/>
      <c r="D89" s="8"/>
      <c r="E89" s="74"/>
      <c r="F89" s="74"/>
      <c r="G89" s="74"/>
      <c r="H89" s="74"/>
      <c r="I89" s="74"/>
      <c r="J89" s="74"/>
      <c r="K89" s="74"/>
      <c r="L89" s="8"/>
      <c r="M89" s="8"/>
      <c r="N89" s="8"/>
      <c r="O89" s="74"/>
      <c r="P89" s="8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</row>
    <row x14ac:dyDescent="0.25" r="90" customHeight="1" ht="19.5">
      <c r="A90" s="3"/>
      <c r="B90" s="8"/>
      <c r="C90" s="73"/>
      <c r="D90" s="8"/>
      <c r="E90" s="74"/>
      <c r="F90" s="74"/>
      <c r="G90" s="74"/>
      <c r="H90" s="74"/>
      <c r="I90" s="74"/>
      <c r="J90" s="74"/>
      <c r="K90" s="74"/>
      <c r="L90" s="8"/>
      <c r="M90" s="8"/>
      <c r="N90" s="8"/>
      <c r="O90" s="74"/>
      <c r="P90" s="8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</row>
    <row x14ac:dyDescent="0.25" r="91" customHeight="1" ht="19.5">
      <c r="A91" s="3"/>
      <c r="B91" s="8"/>
      <c r="C91" s="73"/>
      <c r="D91" s="8"/>
      <c r="E91" s="74"/>
      <c r="F91" s="74"/>
      <c r="G91" s="74"/>
      <c r="H91" s="74"/>
      <c r="I91" s="74"/>
      <c r="J91" s="74"/>
      <c r="K91" s="74"/>
      <c r="L91" s="8"/>
      <c r="M91" s="8"/>
      <c r="N91" s="8"/>
      <c r="O91" s="74"/>
      <c r="P91" s="8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</row>
    <row x14ac:dyDescent="0.25" r="92" customHeight="1" ht="19.5">
      <c r="A92" s="3"/>
      <c r="B92" s="8"/>
      <c r="C92" s="73"/>
      <c r="D92" s="8"/>
      <c r="E92" s="74"/>
      <c r="F92" s="74"/>
      <c r="G92" s="74"/>
      <c r="H92" s="74"/>
      <c r="I92" s="74"/>
      <c r="J92" s="74"/>
      <c r="K92" s="74"/>
      <c r="L92" s="8"/>
      <c r="M92" s="8"/>
      <c r="N92" s="8"/>
      <c r="O92" s="74"/>
      <c r="P92" s="8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</row>
    <row x14ac:dyDescent="0.25" r="93" customHeight="1" ht="19.5">
      <c r="A93" s="3"/>
      <c r="B93" s="8"/>
      <c r="C93" s="73"/>
      <c r="D93" s="8"/>
      <c r="E93" s="74"/>
      <c r="F93" s="74"/>
      <c r="G93" s="74"/>
      <c r="H93" s="74"/>
      <c r="I93" s="74"/>
      <c r="J93" s="74"/>
      <c r="K93" s="74"/>
      <c r="L93" s="8"/>
      <c r="M93" s="8"/>
      <c r="N93" s="8"/>
      <c r="O93" s="74"/>
      <c r="P93" s="8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</row>
    <row x14ac:dyDescent="0.25" r="94" customHeight="1" ht="19.5">
      <c r="A94" s="3"/>
      <c r="B94" s="8"/>
      <c r="C94" s="73"/>
      <c r="D94" s="8"/>
      <c r="E94" s="74"/>
      <c r="F94" s="74"/>
      <c r="G94" s="74"/>
      <c r="H94" s="74"/>
      <c r="I94" s="74"/>
      <c r="J94" s="74"/>
      <c r="K94" s="74"/>
      <c r="L94" s="8"/>
      <c r="M94" s="8"/>
      <c r="N94" s="8"/>
      <c r="O94" s="74"/>
      <c r="P94" s="8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</row>
    <row x14ac:dyDescent="0.25" r="95" customHeight="1" ht="19.5">
      <c r="A95" s="3"/>
      <c r="B95" s="8"/>
      <c r="C95" s="73"/>
      <c r="D95" s="8"/>
      <c r="E95" s="74"/>
      <c r="F95" s="74"/>
      <c r="G95" s="74"/>
      <c r="H95" s="74"/>
      <c r="I95" s="74"/>
      <c r="J95" s="74"/>
      <c r="K95" s="74"/>
      <c r="L95" s="8"/>
      <c r="M95" s="8"/>
      <c r="N95" s="8"/>
      <c r="O95" s="74"/>
      <c r="P95" s="8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</row>
    <row x14ac:dyDescent="0.25" r="96" customHeight="1" ht="19.5">
      <c r="A96" s="3"/>
      <c r="B96" s="8"/>
      <c r="C96" s="73"/>
      <c r="D96" s="8"/>
      <c r="E96" s="74"/>
      <c r="F96" s="74"/>
      <c r="G96" s="74"/>
      <c r="H96" s="74"/>
      <c r="I96" s="74"/>
      <c r="J96" s="74"/>
      <c r="K96" s="74"/>
      <c r="L96" s="8"/>
      <c r="M96" s="8"/>
      <c r="N96" s="8"/>
      <c r="O96" s="74"/>
      <c r="P96" s="8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</row>
    <row x14ac:dyDescent="0.25" r="97" customHeight="1" ht="19.5">
      <c r="A97" s="3"/>
      <c r="B97" s="8"/>
      <c r="C97" s="73"/>
      <c r="D97" s="8"/>
      <c r="E97" s="74"/>
      <c r="F97" s="74"/>
      <c r="G97" s="74"/>
      <c r="H97" s="74"/>
      <c r="I97" s="74"/>
      <c r="J97" s="74"/>
      <c r="K97" s="74"/>
      <c r="L97" s="8"/>
      <c r="M97" s="8"/>
      <c r="N97" s="8"/>
      <c r="O97" s="74"/>
      <c r="P97" s="8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</row>
    <row x14ac:dyDescent="0.25" r="98" customHeight="1" ht="19.5">
      <c r="A98" s="3"/>
      <c r="B98" s="8"/>
      <c r="C98" s="73"/>
      <c r="D98" s="8"/>
      <c r="E98" s="74"/>
      <c r="F98" s="74"/>
      <c r="G98" s="74"/>
      <c r="H98" s="74"/>
      <c r="I98" s="74"/>
      <c r="J98" s="74"/>
      <c r="K98" s="74"/>
      <c r="L98" s="8"/>
      <c r="M98" s="8"/>
      <c r="N98" s="8"/>
      <c r="O98" s="74"/>
      <c r="P98" s="8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</row>
    <row x14ac:dyDescent="0.25" r="99" customHeight="1" ht="19.5">
      <c r="A99" s="3"/>
      <c r="B99" s="8"/>
      <c r="C99" s="73"/>
      <c r="D99" s="8"/>
      <c r="E99" s="74"/>
      <c r="F99" s="74"/>
      <c r="G99" s="74"/>
      <c r="H99" s="74"/>
      <c r="I99" s="74"/>
      <c r="J99" s="74"/>
      <c r="K99" s="74"/>
      <c r="L99" s="8"/>
      <c r="M99" s="8"/>
      <c r="N99" s="8"/>
      <c r="O99" s="74"/>
      <c r="P99" s="8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x14ac:dyDescent="0.25" r="100" customHeight="1" ht="19.5">
      <c r="A100" s="3"/>
      <c r="B100" s="8"/>
      <c r="C100" s="73"/>
      <c r="D100" s="8"/>
      <c r="E100" s="74"/>
      <c r="F100" s="74"/>
      <c r="G100" s="74"/>
      <c r="H100" s="74"/>
      <c r="I100" s="74"/>
      <c r="J100" s="74"/>
      <c r="K100" s="74"/>
      <c r="L100" s="8"/>
      <c r="M100" s="8"/>
      <c r="N100" s="8"/>
      <c r="O100" s="74"/>
      <c r="P100" s="8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x14ac:dyDescent="0.25" r="101" customHeight="1" ht="19.5">
      <c r="A101" s="3"/>
      <c r="B101" s="8"/>
      <c r="C101" s="73"/>
      <c r="D101" s="8"/>
      <c r="E101" s="162" t="s">
        <v>279</v>
      </c>
      <c r="F101" s="74"/>
      <c r="G101" s="74"/>
      <c r="H101" s="74"/>
      <c r="I101" s="74"/>
      <c r="J101" s="74"/>
      <c r="K101" s="74"/>
      <c r="L101" s="8"/>
      <c r="M101" s="8"/>
      <c r="N101" s="8"/>
      <c r="O101" s="74"/>
      <c r="P101" s="8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</row>
    <row x14ac:dyDescent="0.25" r="102" customHeight="1" ht="19.5">
      <c r="A102" s="3"/>
      <c r="B102" s="8"/>
      <c r="C102" s="161"/>
      <c r="D102" s="159">
        <v>2020</v>
      </c>
      <c r="E102" s="9">
        <f>D103/12</f>
      </c>
      <c r="F102" s="74"/>
      <c r="G102" s="74"/>
      <c r="H102" s="74"/>
      <c r="I102" s="74"/>
      <c r="J102" s="74"/>
      <c r="K102" s="74"/>
      <c r="L102" s="8"/>
      <c r="M102" s="8"/>
      <c r="N102" s="8"/>
      <c r="O102" s="74"/>
      <c r="P102" s="8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</row>
    <row x14ac:dyDescent="0.25" r="103" customHeight="1" ht="19.5">
      <c r="A103" s="3"/>
      <c r="B103" s="8"/>
      <c r="C103" s="73" t="s">
        <v>280</v>
      </c>
      <c r="D103" s="9">
        <v>3451699</v>
      </c>
      <c r="E103" s="159">
        <f>D104/12</f>
      </c>
      <c r="F103" s="74"/>
      <c r="G103" s="74"/>
      <c r="H103" s="74"/>
      <c r="I103" s="74"/>
      <c r="J103" s="74"/>
      <c r="K103" s="74"/>
      <c r="L103" s="8"/>
      <c r="M103" s="8"/>
      <c r="N103" s="8"/>
      <c r="O103" s="74"/>
      <c r="P103" s="8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</row>
    <row x14ac:dyDescent="0.25" r="104" customHeight="1" ht="19.5">
      <c r="A104" s="3"/>
      <c r="B104" s="8"/>
      <c r="C104" s="161" t="s">
        <v>281</v>
      </c>
      <c r="D104" s="159">
        <v>1302616</v>
      </c>
      <c r="E104" s="9">
        <f>D105/12</f>
      </c>
      <c r="F104" s="74"/>
      <c r="G104" s="74"/>
      <c r="H104" s="74"/>
      <c r="I104" s="74"/>
      <c r="J104" s="74"/>
      <c r="K104" s="74"/>
      <c r="L104" s="8"/>
      <c r="M104" s="8"/>
      <c r="N104" s="8"/>
      <c r="O104" s="74"/>
      <c r="P104" s="8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</row>
    <row x14ac:dyDescent="0.25" r="105" customHeight="1" ht="19.5">
      <c r="A105" s="3"/>
      <c r="B105" s="8"/>
      <c r="C105" s="73" t="s">
        <v>86</v>
      </c>
      <c r="D105" s="9">
        <f>D103+D104</f>
      </c>
      <c r="E105" s="74"/>
      <c r="F105" s="74"/>
      <c r="G105" s="74" t="s">
        <v>268</v>
      </c>
      <c r="H105" s="74"/>
      <c r="I105" s="74"/>
      <c r="J105" s="74"/>
      <c r="K105" s="74"/>
      <c r="L105" s="8"/>
      <c r="M105" s="8"/>
      <c r="N105" s="8"/>
      <c r="O105" s="74"/>
      <c r="P105" s="8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</row>
    <row x14ac:dyDescent="0.25" r="106" customHeight="1" ht="19.5">
      <c r="A106" s="3"/>
      <c r="B106" s="8"/>
      <c r="C106" s="73"/>
      <c r="D106" s="8"/>
      <c r="E106" s="74"/>
      <c r="F106" s="74"/>
      <c r="G106" s="127">
        <f>SUM(P51:S51)</f>
      </c>
      <c r="H106" s="74"/>
      <c r="I106" s="74"/>
      <c r="J106" s="74"/>
      <c r="K106" s="74"/>
      <c r="L106" s="8"/>
      <c r="M106" s="8"/>
      <c r="N106" s="8"/>
      <c r="O106" s="74"/>
      <c r="P106" s="8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x14ac:dyDescent="0.25" r="107" customHeight="1" ht="19.5">
      <c r="A107" s="3"/>
      <c r="B107" s="8"/>
      <c r="C107" s="73"/>
      <c r="D107" s="8"/>
      <c r="E107" s="74"/>
      <c r="F107" s="74"/>
      <c r="G107" s="127">
        <f>SUM(P66:S66)</f>
      </c>
      <c r="H107" s="74"/>
      <c r="I107" s="74"/>
      <c r="J107" s="74"/>
      <c r="K107" s="74"/>
      <c r="L107" s="8"/>
      <c r="M107" s="8"/>
      <c r="N107" s="8"/>
      <c r="O107" s="74"/>
      <c r="P107" s="8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</row>
    <row x14ac:dyDescent="0.25" r="108" customHeight="1" ht="19.5">
      <c r="A108" s="3"/>
      <c r="B108" s="8"/>
      <c r="C108" s="73"/>
      <c r="D108" s="8"/>
      <c r="E108" s="74" t="s">
        <v>282</v>
      </c>
      <c r="F108" s="74"/>
      <c r="G108" s="9">
        <f>$E$104</f>
      </c>
      <c r="H108" s="74"/>
      <c r="I108" s="74"/>
      <c r="J108" s="74"/>
      <c r="K108" s="74" t="s">
        <v>283</v>
      </c>
      <c r="L108" s="8"/>
      <c r="M108" s="8"/>
      <c r="N108" s="8"/>
      <c r="O108" s="74"/>
      <c r="P108" s="8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x14ac:dyDescent="0.25" r="109" customHeight="1" ht="19.5">
      <c r="A109" s="3"/>
      <c r="B109" s="8"/>
      <c r="C109" s="73"/>
      <c r="D109" s="8" t="s">
        <v>284</v>
      </c>
      <c r="E109" s="127">
        <f>SUM(H51:K51)</f>
      </c>
      <c r="F109" s="74" t="s">
        <v>267</v>
      </c>
      <c r="G109" s="74"/>
      <c r="H109" s="74" t="s">
        <v>285</v>
      </c>
      <c r="I109" s="74" t="s">
        <v>286</v>
      </c>
      <c r="J109" s="74" t="s">
        <v>287</v>
      </c>
      <c r="K109" s="127">
        <f>SUM(AH51:AK51)</f>
      </c>
      <c r="L109" s="8" t="s">
        <v>288</v>
      </c>
      <c r="M109" s="8" t="s">
        <v>289</v>
      </c>
      <c r="N109" s="8" t="s">
        <v>290</v>
      </c>
      <c r="O109" s="74" t="s">
        <v>291</v>
      </c>
      <c r="P109" s="8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</row>
    <row x14ac:dyDescent="0.25" r="110" customHeight="1" ht="19.5">
      <c r="A110" s="3"/>
      <c r="B110" s="8"/>
      <c r="C110" s="166" t="s">
        <v>292</v>
      </c>
      <c r="D110" s="9">
        <f>SUM(C51:G51)</f>
      </c>
      <c r="E110" s="127">
        <f>SUM(H66:K66)</f>
      </c>
      <c r="F110" s="127">
        <f>SUM(L51:O51)</f>
      </c>
      <c r="G110" s="74"/>
      <c r="H110" s="127">
        <f>SUM(T51:X51)</f>
      </c>
      <c r="I110" s="127">
        <f>SUM(Y51:AB51)</f>
      </c>
      <c r="J110" s="127">
        <f>SUM(AC51:AG51)</f>
      </c>
      <c r="K110" s="127">
        <f>SUM(AH66:AK66)</f>
      </c>
      <c r="L110" s="8"/>
      <c r="M110" s="8"/>
      <c r="N110" s="8"/>
      <c r="O110" s="74"/>
      <c r="P110" s="8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</row>
    <row x14ac:dyDescent="0.25" r="111" customHeight="1" ht="19.5">
      <c r="A111" s="3"/>
      <c r="B111" s="8"/>
      <c r="C111" s="200" t="s">
        <v>293</v>
      </c>
      <c r="D111" s="9">
        <f>SUM(C66:G66)</f>
      </c>
      <c r="E111" s="9">
        <f>$E$104</f>
      </c>
      <c r="F111" s="127">
        <f>SUM(L66:O66)</f>
      </c>
      <c r="G111" s="127">
        <f>G106+F115</f>
      </c>
      <c r="H111" s="127">
        <f>SUM(T66:X66)</f>
      </c>
      <c r="I111" s="127">
        <f>SUM(Y66:AB66)</f>
      </c>
      <c r="J111" s="127">
        <f>SUM(AC66:AG66)</f>
      </c>
      <c r="K111" s="9">
        <f>$E$104</f>
      </c>
      <c r="L111" s="8"/>
      <c r="M111" s="8"/>
      <c r="N111" s="8"/>
      <c r="O111" s="74"/>
      <c r="P111" s="8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</row>
    <row x14ac:dyDescent="0.25" r="112" customHeight="1" ht="19.5">
      <c r="A112" s="3"/>
      <c r="B112" s="8"/>
      <c r="C112" s="73" t="s">
        <v>294</v>
      </c>
      <c r="D112" s="9">
        <f>$E$104</f>
      </c>
      <c r="E112" s="74"/>
      <c r="F112" s="9">
        <f>$E$104</f>
      </c>
      <c r="G112" s="127">
        <f>G107+F116</f>
      </c>
      <c r="H112" s="9">
        <f>$E$104</f>
      </c>
      <c r="I112" s="9">
        <f>$E$104</f>
      </c>
      <c r="J112" s="9">
        <f>$E$104</f>
      </c>
      <c r="K112" s="74"/>
      <c r="L112" s="9">
        <f>$E$104</f>
      </c>
      <c r="M112" s="9">
        <f>$E$104</f>
      </c>
      <c r="N112" s="9">
        <f>$E$104</f>
      </c>
      <c r="O112" s="9">
        <f>$E$104</f>
      </c>
      <c r="P112" s="8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</row>
    <row x14ac:dyDescent="0.25" r="113" customHeight="1" ht="19.5">
      <c r="A113" s="3"/>
      <c r="B113" s="8"/>
      <c r="C113" s="73"/>
      <c r="D113" s="8"/>
      <c r="E113" s="74"/>
      <c r="F113" s="74"/>
      <c r="G113" s="127">
        <f>G108+F117</f>
      </c>
      <c r="H113" s="74"/>
      <c r="I113" s="74"/>
      <c r="J113" s="74"/>
      <c r="K113" s="74"/>
      <c r="L113" s="8"/>
      <c r="M113" s="8"/>
      <c r="N113" s="8"/>
      <c r="O113" s="74"/>
      <c r="P113" s="8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</row>
    <row x14ac:dyDescent="0.25" r="114" customHeight="1" ht="19.5">
      <c r="A114" s="3"/>
      <c r="B114" s="8"/>
      <c r="C114" s="9" t="s">
        <v>295</v>
      </c>
      <c r="D114" s="8"/>
      <c r="E114" s="127">
        <f>E109+D115</f>
      </c>
      <c r="F114" s="74"/>
      <c r="G114" s="74"/>
      <c r="H114" s="74"/>
      <c r="I114" s="74"/>
      <c r="J114" s="74"/>
      <c r="K114" s="127">
        <f>K109+J115</f>
      </c>
      <c r="L114" s="9">
        <v>482000</v>
      </c>
      <c r="M114" s="9">
        <v>714000</v>
      </c>
      <c r="N114" s="9">
        <v>754000</v>
      </c>
      <c r="O114" s="9"/>
      <c r="P114" s="8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</row>
    <row x14ac:dyDescent="0.25" r="115" customHeight="1" ht="19.5">
      <c r="A115" s="3"/>
      <c r="B115" s="8"/>
      <c r="C115" s="9" t="s">
        <v>296</v>
      </c>
      <c r="D115" s="9">
        <f>D110</f>
      </c>
      <c r="E115" s="127">
        <f>E110+D116</f>
      </c>
      <c r="F115" s="127">
        <f>F110+E114</f>
      </c>
      <c r="G115" s="74"/>
      <c r="H115" s="127">
        <f>H110+G111</f>
      </c>
      <c r="I115" s="127">
        <f>I110+H115</f>
      </c>
      <c r="J115" s="127">
        <f>J110+I115</f>
      </c>
      <c r="K115" s="127">
        <f>K110+J116</f>
      </c>
      <c r="L115" s="127">
        <f>L110+K114+L114</f>
      </c>
      <c r="M115" s="127">
        <f>M110+L115+M114</f>
      </c>
      <c r="N115" s="127">
        <f>N110+M115+N114</f>
      </c>
      <c r="O115" s="127">
        <f>O110+N115+O114</f>
      </c>
      <c r="P115" s="8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</row>
    <row x14ac:dyDescent="0.25" r="116" customHeight="1" ht="19.5">
      <c r="A116" s="3"/>
      <c r="B116" s="8"/>
      <c r="C116" s="9" t="s">
        <v>297</v>
      </c>
      <c r="D116" s="9">
        <f>D111</f>
      </c>
      <c r="E116" s="127">
        <f>E111+D117</f>
      </c>
      <c r="F116" s="127">
        <f>F111+E115</f>
      </c>
      <c r="G116" s="74"/>
      <c r="H116" s="127">
        <f>H111+G112</f>
      </c>
      <c r="I116" s="127">
        <f>I111+H116</f>
      </c>
      <c r="J116" s="127">
        <f>J111+I116</f>
      </c>
      <c r="K116" s="127">
        <f>K111+J117</f>
      </c>
      <c r="L116" s="127">
        <f>L111+K115</f>
      </c>
      <c r="M116" s="127">
        <f>M111+L116</f>
      </c>
      <c r="N116" s="127">
        <f>N111+M116</f>
      </c>
      <c r="O116" s="127">
        <f>O111+N116</f>
      </c>
      <c r="P116" s="8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</row>
    <row x14ac:dyDescent="0.25" r="117" customHeight="1" ht="19.5">
      <c r="A117" s="3"/>
      <c r="B117" s="8"/>
      <c r="C117" s="9" t="s">
        <v>298</v>
      </c>
      <c r="D117" s="9">
        <f>D112</f>
      </c>
      <c r="E117" s="74"/>
      <c r="F117" s="127">
        <f>F112+E116</f>
      </c>
      <c r="G117" s="74"/>
      <c r="H117" s="127">
        <f>H112+G113</f>
      </c>
      <c r="I117" s="127">
        <f>I112+H117</f>
      </c>
      <c r="J117" s="127">
        <f>J112+I117</f>
      </c>
      <c r="K117" s="74"/>
      <c r="L117" s="127">
        <f>L112+K116</f>
      </c>
      <c r="M117" s="127">
        <f>M112+L117</f>
      </c>
      <c r="N117" s="127">
        <f>N112+M117</f>
      </c>
      <c r="O117" s="127">
        <f>O112+N117</f>
      </c>
      <c r="P117" s="8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</row>
    <row x14ac:dyDescent="0.25" r="118" customHeight="1" ht="19.5">
      <c r="A118" s="3"/>
      <c r="B118" s="8"/>
      <c r="C118" s="73"/>
      <c r="D118" s="8"/>
      <c r="E118" s="74"/>
      <c r="F118" s="74"/>
      <c r="G118" s="74"/>
      <c r="H118" s="74"/>
      <c r="I118" s="74"/>
      <c r="J118" s="74"/>
      <c r="K118" s="74"/>
      <c r="L118" s="8"/>
      <c r="M118" s="8"/>
      <c r="N118" s="8"/>
      <c r="O118" s="74"/>
      <c r="P118" s="8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</row>
    <row x14ac:dyDescent="0.25" r="119" customHeight="1" ht="19.5">
      <c r="A119" s="3"/>
      <c r="B119" s="8"/>
      <c r="C119" s="73"/>
      <c r="D119" s="8"/>
      <c r="E119" s="74"/>
      <c r="F119" s="74"/>
      <c r="G119" s="74"/>
      <c r="H119" s="74"/>
      <c r="I119" s="74"/>
      <c r="J119" s="74"/>
      <c r="K119" s="74"/>
      <c r="L119" s="8"/>
      <c r="M119" s="8"/>
      <c r="N119" s="8"/>
      <c r="O119" s="74"/>
      <c r="P119" s="8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</row>
    <row x14ac:dyDescent="0.25" r="120" customHeight="1" ht="19.5">
      <c r="A120" s="3"/>
      <c r="B120" s="8"/>
      <c r="C120" s="73"/>
      <c r="D120" s="8"/>
      <c r="E120" s="74"/>
      <c r="F120" s="74"/>
      <c r="G120" s="74"/>
      <c r="H120" s="74"/>
      <c r="I120" s="74"/>
      <c r="J120" s="74"/>
      <c r="K120" s="74"/>
      <c r="L120" s="8"/>
      <c r="M120" s="8"/>
      <c r="N120" s="8"/>
      <c r="O120" s="74"/>
      <c r="P120" s="8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</row>
    <row x14ac:dyDescent="0.25" r="121" customHeight="1" ht="19.5">
      <c r="A121" s="201" t="s">
        <v>299</v>
      </c>
      <c r="B121" s="202" t="s">
        <v>300</v>
      </c>
      <c r="C121" s="128" t="s">
        <v>301</v>
      </c>
      <c r="D121" s="8"/>
      <c r="E121" s="74" t="s">
        <v>302</v>
      </c>
      <c r="F121" s="74"/>
      <c r="G121" s="74"/>
      <c r="H121" s="74"/>
      <c r="I121" s="74"/>
      <c r="J121" s="74"/>
      <c r="K121" s="74"/>
      <c r="L121" s="8"/>
      <c r="M121" s="8"/>
      <c r="N121" s="8"/>
      <c r="O121" s="74"/>
      <c r="P121" s="8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</row>
    <row x14ac:dyDescent="0.25" r="122" customHeight="1" ht="19.5">
      <c r="A122" s="33" t="s">
        <v>303</v>
      </c>
      <c r="B122" s="166" t="s">
        <v>304</v>
      </c>
      <c r="C122" s="196">
        <v>805418</v>
      </c>
      <c r="D122" s="8"/>
      <c r="E122" s="74" t="s">
        <v>305</v>
      </c>
      <c r="F122" s="9">
        <f>C122+C123</f>
      </c>
      <c r="G122" s="74"/>
      <c r="H122" s="74"/>
      <c r="I122" s="74"/>
      <c r="J122" s="74"/>
      <c r="K122" s="74"/>
      <c r="L122" s="8"/>
      <c r="M122" s="8"/>
      <c r="N122" s="8"/>
      <c r="O122" s="74"/>
      <c r="P122" s="8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</row>
    <row x14ac:dyDescent="0.25" r="123" customHeight="1" ht="19.5">
      <c r="A123" s="33" t="s">
        <v>306</v>
      </c>
      <c r="B123" s="166" t="s">
        <v>307</v>
      </c>
      <c r="C123" s="196">
        <v>18205</v>
      </c>
      <c r="D123" s="8"/>
      <c r="E123" s="74" t="s">
        <v>308</v>
      </c>
      <c r="F123" s="9">
        <f>C132</f>
      </c>
      <c r="G123" s="74"/>
      <c r="H123" s="74"/>
      <c r="I123" s="74"/>
      <c r="J123" s="74"/>
      <c r="K123" s="74"/>
      <c r="L123" s="8"/>
      <c r="M123" s="8"/>
      <c r="N123" s="8"/>
      <c r="O123" s="74"/>
      <c r="P123" s="8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</row>
    <row x14ac:dyDescent="0.25" r="124" customHeight="1" ht="19.5">
      <c r="A124" s="203" t="s">
        <v>309</v>
      </c>
      <c r="B124" s="204" t="s">
        <v>310</v>
      </c>
      <c r="C124" s="204">
        <v>190261</v>
      </c>
      <c r="D124" s="8"/>
      <c r="E124" s="74" t="s">
        <v>311</v>
      </c>
      <c r="F124" s="9">
        <f>C133</f>
      </c>
      <c r="G124" s="74"/>
      <c r="H124" s="74"/>
      <c r="I124" s="74"/>
      <c r="J124" s="74"/>
      <c r="K124" s="74"/>
      <c r="L124" s="8"/>
      <c r="M124" s="8"/>
      <c r="N124" s="8"/>
      <c r="O124" s="74"/>
      <c r="P124" s="8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x14ac:dyDescent="0.25" r="125" customHeight="1" ht="19.5">
      <c r="A125" s="205"/>
      <c r="B125" s="204" t="s">
        <v>312</v>
      </c>
      <c r="C125" s="204">
        <v>199752</v>
      </c>
      <c r="D125" s="8"/>
      <c r="E125" s="74" t="s">
        <v>313</v>
      </c>
      <c r="F125" s="9">
        <f>C136</f>
      </c>
      <c r="G125" s="74"/>
      <c r="H125" s="74"/>
      <c r="I125" s="74"/>
      <c r="J125" s="74"/>
      <c r="K125" s="74"/>
      <c r="L125" s="8"/>
      <c r="M125" s="8"/>
      <c r="N125" s="8"/>
      <c r="O125" s="74"/>
      <c r="P125" s="8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x14ac:dyDescent="0.25" r="126" customHeight="1" ht="19.5">
      <c r="A126" s="205"/>
      <c r="B126" s="204" t="s">
        <v>314</v>
      </c>
      <c r="C126" s="204">
        <v>1441235</v>
      </c>
      <c r="D126" s="8"/>
      <c r="E126" s="74" t="s">
        <v>315</v>
      </c>
      <c r="F126" s="9">
        <f>C140</f>
      </c>
      <c r="G126" s="74"/>
      <c r="H126" s="74"/>
      <c r="I126" s="74"/>
      <c r="J126" s="74"/>
      <c r="K126" s="74"/>
      <c r="L126" s="8"/>
      <c r="M126" s="8"/>
      <c r="N126" s="8"/>
      <c r="O126" s="74"/>
      <c r="P126" s="8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x14ac:dyDescent="0.25" r="127" customHeight="1" ht="19.5">
      <c r="A127" s="205"/>
      <c r="B127" s="204" t="s">
        <v>316</v>
      </c>
      <c r="C127" s="204">
        <v>1216830</v>
      </c>
      <c r="D127" s="8"/>
      <c r="E127" s="74" t="s">
        <v>317</v>
      </c>
      <c r="F127" s="9">
        <f>C141</f>
      </c>
      <c r="G127" s="74"/>
      <c r="H127" s="74"/>
      <c r="I127" s="74"/>
      <c r="J127" s="74"/>
      <c r="K127" s="74"/>
      <c r="L127" s="8"/>
      <c r="M127" s="8"/>
      <c r="N127" s="8"/>
      <c r="O127" s="74"/>
      <c r="P127" s="8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x14ac:dyDescent="0.25" r="128" customHeight="1" ht="19.5">
      <c r="A128" s="205"/>
      <c r="B128" s="204" t="s">
        <v>318</v>
      </c>
      <c r="C128" s="204">
        <v>466</v>
      </c>
      <c r="D128" s="8"/>
      <c r="E128" s="74"/>
      <c r="F128" s="9">
        <f>C144</f>
      </c>
      <c r="G128" s="74"/>
      <c r="H128" s="74"/>
      <c r="I128" s="74"/>
      <c r="J128" s="74"/>
      <c r="K128" s="74"/>
      <c r="L128" s="8"/>
      <c r="M128" s="8"/>
      <c r="N128" s="8"/>
      <c r="O128" s="74"/>
      <c r="P128" s="8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x14ac:dyDescent="0.25" r="129" customHeight="1" ht="19.5">
      <c r="A129" s="205"/>
      <c r="B129" s="204" t="s">
        <v>319</v>
      </c>
      <c r="C129" s="204">
        <v>158077</v>
      </c>
      <c r="D129" s="8"/>
      <c r="E129" s="74"/>
      <c r="F129" s="74"/>
      <c r="G129" s="74"/>
      <c r="H129" s="74"/>
      <c r="I129" s="74"/>
      <c r="J129" s="74"/>
      <c r="K129" s="74"/>
      <c r="L129" s="8"/>
      <c r="M129" s="8"/>
      <c r="N129" s="8"/>
      <c r="O129" s="74"/>
      <c r="P129" s="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</row>
    <row x14ac:dyDescent="0.25" r="130" customHeight="1" ht="19.5">
      <c r="A130" s="205"/>
      <c r="B130" s="204" t="s">
        <v>320</v>
      </c>
      <c r="C130" s="204">
        <v>344920</v>
      </c>
      <c r="D130" s="8"/>
      <c r="E130" s="74"/>
      <c r="F130" s="74"/>
      <c r="G130" s="74"/>
      <c r="H130" s="74"/>
      <c r="I130" s="74"/>
      <c r="J130" s="74"/>
      <c r="K130" s="74"/>
      <c r="L130" s="8"/>
      <c r="M130" s="8"/>
      <c r="N130" s="8"/>
      <c r="O130" s="74"/>
      <c r="P130" s="8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</row>
    <row x14ac:dyDescent="0.25" r="131" customHeight="1" ht="19.5">
      <c r="A131" s="205"/>
      <c r="B131" s="204" t="s">
        <v>308</v>
      </c>
      <c r="C131" s="204">
        <v>50962</v>
      </c>
      <c r="D131" s="8"/>
      <c r="E131" s="74"/>
      <c r="F131" s="74"/>
      <c r="G131" s="74"/>
      <c r="H131" s="74"/>
      <c r="I131" s="74"/>
      <c r="J131" s="74"/>
      <c r="K131" s="74"/>
      <c r="L131" s="8"/>
      <c r="M131" s="8"/>
      <c r="N131" s="8"/>
      <c r="O131" s="74"/>
      <c r="P131" s="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</row>
    <row x14ac:dyDescent="0.25" r="132" customHeight="1" ht="19.5">
      <c r="A132" s="33" t="s">
        <v>309</v>
      </c>
      <c r="B132" s="166" t="s">
        <v>321</v>
      </c>
      <c r="C132" s="206">
        <v>3602505</v>
      </c>
      <c r="D132" s="8"/>
      <c r="E132" s="74"/>
      <c r="F132" s="74"/>
      <c r="G132" s="74"/>
      <c r="H132" s="74"/>
      <c r="I132" s="74"/>
      <c r="J132" s="74"/>
      <c r="K132" s="74"/>
      <c r="L132" s="8"/>
      <c r="M132" s="8"/>
      <c r="N132" s="8"/>
      <c r="O132" s="74"/>
      <c r="P132" s="8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</row>
    <row x14ac:dyDescent="0.25" r="133" customHeight="1" ht="19.5">
      <c r="A133" s="33" t="s">
        <v>322</v>
      </c>
      <c r="B133" s="166" t="s">
        <v>308</v>
      </c>
      <c r="C133" s="196">
        <v>64424</v>
      </c>
      <c r="D133" s="8"/>
      <c r="E133" s="74"/>
      <c r="F133" s="74"/>
      <c r="G133" s="74"/>
      <c r="H133" s="74"/>
      <c r="I133" s="74"/>
      <c r="J133" s="74"/>
      <c r="K133" s="74"/>
      <c r="L133" s="8"/>
      <c r="M133" s="8"/>
      <c r="N133" s="8"/>
      <c r="O133" s="74"/>
      <c r="P133" s="8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</row>
    <row x14ac:dyDescent="0.25" r="134" customHeight="1" ht="19.5">
      <c r="A134" s="203" t="s">
        <v>323</v>
      </c>
      <c r="B134" s="204" t="s">
        <v>324</v>
      </c>
      <c r="C134" s="204">
        <v>284988</v>
      </c>
      <c r="D134" s="8"/>
      <c r="E134" s="74"/>
      <c r="F134" s="74"/>
      <c r="G134" s="74"/>
      <c r="H134" s="74"/>
      <c r="I134" s="74"/>
      <c r="J134" s="74"/>
      <c r="K134" s="74"/>
      <c r="L134" s="8"/>
      <c r="M134" s="8"/>
      <c r="N134" s="8"/>
      <c r="O134" s="74"/>
      <c r="P134" s="8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</row>
    <row x14ac:dyDescent="0.25" r="135" customHeight="1" ht="19.5">
      <c r="A135" s="205"/>
      <c r="B135" s="204" t="s">
        <v>325</v>
      </c>
      <c r="C135" s="204">
        <v>420812</v>
      </c>
      <c r="D135" s="8"/>
      <c r="E135" s="74"/>
      <c r="F135" s="74"/>
      <c r="G135" s="74"/>
      <c r="H135" s="74"/>
      <c r="I135" s="74"/>
      <c r="J135" s="74"/>
      <c r="K135" s="74"/>
      <c r="L135" s="8"/>
      <c r="M135" s="8"/>
      <c r="N135" s="8"/>
      <c r="O135" s="74"/>
      <c r="P135" s="8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</row>
    <row x14ac:dyDescent="0.25" r="136" customHeight="1" ht="19.5">
      <c r="A136" s="33" t="s">
        <v>323</v>
      </c>
      <c r="B136" s="8"/>
      <c r="C136" s="206">
        <v>705800</v>
      </c>
      <c r="D136" s="8"/>
      <c r="E136" s="74"/>
      <c r="F136" s="74"/>
      <c r="G136" s="74"/>
      <c r="H136" s="74"/>
      <c r="I136" s="74"/>
      <c r="J136" s="74"/>
      <c r="K136" s="74"/>
      <c r="L136" s="8"/>
      <c r="M136" s="8"/>
      <c r="N136" s="8"/>
      <c r="O136" s="74"/>
      <c r="P136" s="8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</row>
    <row x14ac:dyDescent="0.25" r="137" customHeight="1" ht="19.5">
      <c r="A137" s="203" t="s">
        <v>313</v>
      </c>
      <c r="B137" s="207" t="s">
        <v>326</v>
      </c>
      <c r="C137" s="204">
        <v>5635</v>
      </c>
      <c r="D137" s="8"/>
      <c r="E137" s="74"/>
      <c r="F137" s="74"/>
      <c r="G137" s="74"/>
      <c r="H137" s="74"/>
      <c r="I137" s="74"/>
      <c r="J137" s="74"/>
      <c r="K137" s="74"/>
      <c r="L137" s="8"/>
      <c r="M137" s="8"/>
      <c r="N137" s="8"/>
      <c r="O137" s="74"/>
      <c r="P137" s="8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</row>
    <row x14ac:dyDescent="0.25" r="138" customHeight="1" ht="19.5">
      <c r="A138" s="205"/>
      <c r="B138" s="207" t="s">
        <v>327</v>
      </c>
      <c r="C138" s="204">
        <v>3486</v>
      </c>
      <c r="D138" s="8"/>
      <c r="E138" s="74"/>
      <c r="F138" s="74"/>
      <c r="G138" s="74"/>
      <c r="H138" s="74"/>
      <c r="I138" s="74"/>
      <c r="J138" s="74"/>
      <c r="K138" s="74"/>
      <c r="L138" s="8"/>
      <c r="M138" s="8"/>
      <c r="N138" s="8"/>
      <c r="O138" s="74"/>
      <c r="P138" s="8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</row>
    <row x14ac:dyDescent="0.25" r="139" customHeight="1" ht="19.5">
      <c r="A139" s="205"/>
      <c r="B139" s="207" t="s">
        <v>328</v>
      </c>
      <c r="C139" s="204">
        <v>51717</v>
      </c>
      <c r="D139" s="8"/>
      <c r="E139" s="74"/>
      <c r="F139" s="74"/>
      <c r="G139" s="74"/>
      <c r="H139" s="74"/>
      <c r="I139" s="74"/>
      <c r="J139" s="74"/>
      <c r="K139" s="74"/>
      <c r="L139" s="8"/>
      <c r="M139" s="8"/>
      <c r="N139" s="8"/>
      <c r="O139" s="74"/>
      <c r="P139" s="8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</row>
    <row x14ac:dyDescent="0.25" r="140" customHeight="1" ht="19.5">
      <c r="A140" s="33" t="s">
        <v>313</v>
      </c>
      <c r="B140" s="166" t="s">
        <v>321</v>
      </c>
      <c r="C140" s="196">
        <v>60838</v>
      </c>
      <c r="D140" s="8"/>
      <c r="E140" s="74"/>
      <c r="F140" s="74"/>
      <c r="G140" s="74"/>
      <c r="H140" s="74"/>
      <c r="I140" s="74"/>
      <c r="J140" s="74"/>
      <c r="K140" s="74"/>
      <c r="L140" s="8"/>
      <c r="M140" s="8"/>
      <c r="N140" s="8"/>
      <c r="O140" s="74"/>
      <c r="P140" s="8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</row>
    <row x14ac:dyDescent="0.25" r="141" customHeight="1" ht="19.5">
      <c r="A141" s="33" t="s">
        <v>329</v>
      </c>
      <c r="B141" s="166" t="s">
        <v>330</v>
      </c>
      <c r="C141" s="206">
        <v>319161</v>
      </c>
      <c r="D141" s="8"/>
      <c r="E141" s="74"/>
      <c r="F141" s="74"/>
      <c r="G141" s="74"/>
      <c r="H141" s="74"/>
      <c r="I141" s="74"/>
      <c r="J141" s="74"/>
      <c r="K141" s="74"/>
      <c r="L141" s="8"/>
      <c r="M141" s="8"/>
      <c r="N141" s="8"/>
      <c r="O141" s="74"/>
      <c r="P141" s="8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</row>
    <row x14ac:dyDescent="0.25" r="142" customHeight="1" ht="19.5">
      <c r="A142" s="203" t="s">
        <v>331</v>
      </c>
      <c r="B142" s="204" t="s">
        <v>332</v>
      </c>
      <c r="C142" s="204">
        <v>282642</v>
      </c>
      <c r="D142" s="8"/>
      <c r="E142" s="74"/>
      <c r="F142" s="74"/>
      <c r="G142" s="74"/>
      <c r="H142" s="74"/>
      <c r="I142" s="74"/>
      <c r="J142" s="74"/>
      <c r="K142" s="74"/>
      <c r="L142" s="8"/>
      <c r="M142" s="8"/>
      <c r="N142" s="8"/>
      <c r="O142" s="74"/>
      <c r="P142" s="8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</row>
    <row x14ac:dyDescent="0.25" r="143" customHeight="1" ht="19.5">
      <c r="A143" s="205"/>
      <c r="B143" s="204" t="s">
        <v>333</v>
      </c>
      <c r="C143" s="204">
        <v>267677</v>
      </c>
      <c r="D143" s="8"/>
      <c r="E143" s="74"/>
      <c r="F143" s="74"/>
      <c r="G143" s="74"/>
      <c r="H143" s="74"/>
      <c r="I143" s="74"/>
      <c r="J143" s="74"/>
      <c r="K143" s="74"/>
      <c r="L143" s="8"/>
      <c r="M143" s="8"/>
      <c r="N143" s="8"/>
      <c r="O143" s="74"/>
      <c r="P143" s="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</row>
    <row x14ac:dyDescent="0.25" r="144" customHeight="1" ht="19.5">
      <c r="A144" s="201" t="s">
        <v>331</v>
      </c>
      <c r="B144" s="208" t="s">
        <v>321</v>
      </c>
      <c r="C144" s="128">
        <v>550320</v>
      </c>
      <c r="D144" s="8"/>
      <c r="E144" s="74"/>
      <c r="F144" s="74"/>
      <c r="G144" s="74"/>
      <c r="H144" s="74"/>
      <c r="I144" s="74"/>
      <c r="J144" s="74"/>
      <c r="K144" s="74"/>
      <c r="L144" s="8"/>
      <c r="M144" s="8"/>
      <c r="N144" s="8"/>
      <c r="O144" s="74"/>
      <c r="P144" s="8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</row>
    <row x14ac:dyDescent="0.25" r="145" customHeight="1" ht="19.5">
      <c r="A145" s="33" t="s">
        <v>334</v>
      </c>
      <c r="B145" s="8"/>
      <c r="C145" s="196">
        <v>6126675</v>
      </c>
      <c r="D145" s="8"/>
      <c r="E145" s="74"/>
      <c r="F145" s="74"/>
      <c r="G145" s="74"/>
      <c r="H145" s="74"/>
      <c r="I145" s="74"/>
      <c r="J145" s="74"/>
      <c r="K145" s="74"/>
      <c r="L145" s="8"/>
      <c r="M145" s="8"/>
      <c r="N145" s="8"/>
      <c r="O145" s="74"/>
      <c r="P145" s="8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</row>
  </sheetData>
  <mergeCells count="3">
    <mergeCell ref="A15:A17"/>
    <mergeCell ref="A18:A20"/>
    <mergeCell ref="A63:E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61"/>
  <sheetViews>
    <sheetView workbookViewId="0"/>
  </sheetViews>
  <sheetFormatPr defaultRowHeight="15" x14ac:dyDescent="0.25"/>
  <cols>
    <col min="1" max="1" style="17" width="35.14785714285715" customWidth="1" bestFit="1"/>
    <col min="2" max="2" style="17" width="10.862142857142858" customWidth="1" bestFit="1"/>
    <col min="3" max="3" style="17" width="8.43357142857143" customWidth="1" bestFit="1"/>
    <col min="4" max="4" style="17" width="15.005" customWidth="1" bestFit="1"/>
    <col min="5" max="5" style="70" width="13.005" customWidth="1" bestFit="1"/>
    <col min="6" max="6" style="71" width="13.005" customWidth="1" bestFit="1"/>
    <col min="7" max="7" style="72" width="15.147857142857141" customWidth="1" bestFit="1"/>
    <col min="8" max="8" style="17" width="1.5764285714285713" customWidth="1" bestFit="1"/>
    <col min="9" max="9" style="17" width="8.43357142857143" customWidth="1" bestFit="1"/>
    <col min="10" max="10" style="17" width="12.862142857142858" customWidth="1" bestFit="1"/>
    <col min="11" max="11" style="17" width="12.862142857142858" customWidth="1" bestFit="1"/>
    <col min="12" max="12" style="17" width="9.862142857142858" customWidth="1" bestFit="1"/>
    <col min="13" max="13" style="17" width="65.14785714285713" customWidth="1" bestFit="1"/>
    <col min="14" max="14" style="17" width="19.14785714285714" customWidth="1" bestFit="1"/>
  </cols>
  <sheetData>
    <row x14ac:dyDescent="0.25" r="1" customHeight="1" ht="19.5">
      <c r="A1" s="3"/>
      <c r="B1" s="3"/>
      <c r="C1" s="3"/>
      <c r="D1" s="3"/>
      <c r="E1" s="48"/>
      <c r="F1" s="9">
        <f>SUBTOTAL(9,F4:F600)</f>
      </c>
      <c r="G1" s="49"/>
      <c r="H1" s="3"/>
      <c r="I1" s="3"/>
      <c r="J1" s="3"/>
      <c r="K1" s="3"/>
      <c r="L1" s="3"/>
      <c r="M1" s="3"/>
      <c r="N1" s="3"/>
    </row>
    <row x14ac:dyDescent="0.25" r="2" customHeight="1" ht="19.5">
      <c r="A2" s="50"/>
      <c r="B2" s="50"/>
      <c r="C2" s="51" t="s">
        <v>71</v>
      </c>
      <c r="D2" s="3"/>
      <c r="E2" s="48"/>
      <c r="F2" s="52"/>
      <c r="G2" s="49"/>
      <c r="H2" s="53"/>
      <c r="I2" s="54" t="s">
        <v>72</v>
      </c>
      <c r="J2" s="3"/>
      <c r="K2" s="3"/>
      <c r="L2" s="50" t="s">
        <v>73</v>
      </c>
      <c r="M2" s="55"/>
      <c r="N2" s="55"/>
    </row>
    <row x14ac:dyDescent="0.25" r="3" customHeight="1" ht="28.8">
      <c r="A3" s="56" t="s">
        <v>74</v>
      </c>
      <c r="B3" s="56" t="s">
        <v>75</v>
      </c>
      <c r="C3" s="57" t="s">
        <v>76</v>
      </c>
      <c r="D3" s="57" t="s">
        <v>77</v>
      </c>
      <c r="E3" s="57" t="s">
        <v>78</v>
      </c>
      <c r="F3" s="58" t="s">
        <v>79</v>
      </c>
      <c r="G3" s="57" t="s">
        <v>80</v>
      </c>
      <c r="H3" s="59"/>
      <c r="I3" s="60" t="s">
        <v>76</v>
      </c>
      <c r="J3" s="61" t="s">
        <v>81</v>
      </c>
      <c r="K3" s="61" t="s">
        <v>82</v>
      </c>
      <c r="L3" s="56" t="s">
        <v>83</v>
      </c>
      <c r="M3" s="56" t="s">
        <v>84</v>
      </c>
      <c r="N3" s="56" t="s">
        <v>75</v>
      </c>
    </row>
    <row x14ac:dyDescent="0.25" r="4" customHeight="1" ht="19.5" hidden="1">
      <c r="A4" s="62">
        <f>IF(AND(Data!R3&lt;&gt;"",Data!L3="Accept&amp;#233;"),Data!G3,"")</f>
      </c>
      <c r="B4" s="62">
        <f>IF(AND(Data!R3&lt;&gt;"",Data!L3="Accept&amp;#233;"),Data!L3,"")</f>
      </c>
      <c r="C4" s="63">
        <f>IF(D4&lt;&gt;"","S"&amp;TEXT(WEEKNUM(D4),"00"),"")</f>
      </c>
      <c r="D4" s="42">
        <f>IF(AND(Data!Q3&lt;&gt;"",Data!L3="Accept&amp;#233;"),Data!Q3,"")</f>
        <v>25569.041666666668</v>
      </c>
      <c r="E4" s="64">
        <f>IF(AND(Data!R3&lt;&gt;"",Data!L3="Accept&amp;#233;"),Data!R3,"")</f>
      </c>
      <c r="F4" s="65">
        <f>IF(AND(Data!R3&lt;&gt;"",Data!L3="Accept&amp;#233;"),Data!S3,"")</f>
      </c>
      <c r="G4" s="66">
        <f>IF(Data!R3='Delivery Plan'!E4,Data!U3,"")</f>
      </c>
      <c r="H4" s="53"/>
      <c r="I4" s="63">
        <f>IF(J4&lt;&gt;"","S"&amp;TEXT(WEEKNUM(J4),"00"),"")</f>
      </c>
      <c r="J4" s="42">
        <f>IF(AND(E4=Data!R3,Data!AA3&lt;&gt;""),Data!AA3,"")</f>
        <v>25569.041666666668</v>
      </c>
      <c r="K4" s="67">
        <f>IF(AND(E4=Data!R3,Data!AE3&lt;&gt;""),Data!AE3,"")</f>
        <v>25569.041666666668</v>
      </c>
      <c r="L4" s="68">
        <f>IF(E4=Data!R3,Data!AI3,"")</f>
      </c>
      <c r="M4" s="68">
        <f>IF(E4=Data!R3,Data!AJ3,"")</f>
      </c>
      <c r="N4" s="69">
        <f>IF(AND(Data!R3&lt;&gt;"",Data!L3="Accept&amp;#233;"),Data!K3,"")</f>
      </c>
    </row>
    <row x14ac:dyDescent="0.25" r="5" customHeight="1" ht="19.5" hidden="1">
      <c r="A5" s="62">
        <f>IF(AND(Data!R4&lt;&gt;"",Data!L4="Accept&amp;#233;"),Data!G4,"")</f>
      </c>
      <c r="B5" s="62">
        <f>IF(AND(Data!R4&lt;&gt;"",Data!L4="Accept&amp;#233;"),Data!L4,"")</f>
      </c>
      <c r="C5" s="63">
        <f>IF(D5&lt;&gt;"","S"&amp;TEXT(WEEKNUM(D5),"00"),"")</f>
      </c>
      <c r="D5" s="42">
        <f>IF(AND(Data!Q4&lt;&gt;"",Data!L4="Accept&amp;#233;"),Data!Q4,"")</f>
        <v>25569.041666666668</v>
      </c>
      <c r="E5" s="64">
        <f>IF(AND(Data!R4&lt;&gt;"",Data!L4="Accept&amp;#233;"),Data!R4,"")</f>
      </c>
      <c r="F5" s="65">
        <f>IF(AND(Data!R4&lt;&gt;"",Data!L4="Accept&amp;#233;"),Data!S4,"")</f>
      </c>
      <c r="G5" s="66">
        <f>IF(Data!R4='Delivery Plan'!E5,Data!U4,"")</f>
      </c>
      <c r="H5" s="53"/>
      <c r="I5" s="63">
        <f>IF(J5&lt;&gt;"","S"&amp;TEXT(WEEKNUM(J5),"00"),"")</f>
      </c>
      <c r="J5" s="42">
        <f>IF(AND(E5=Data!R4,Data!AA4&lt;&gt;""),Data!AA4,"")</f>
        <v>25569.041666666668</v>
      </c>
      <c r="K5" s="67">
        <f>IF(AND(E5=Data!R4,Data!AE4&lt;&gt;""),Data!AE4,"")</f>
        <v>25569.041666666668</v>
      </c>
      <c r="L5" s="68">
        <f>IF(E5=Data!R4,Data!AI4,"")</f>
      </c>
      <c r="M5" s="68">
        <f>IF(E5=Data!R4,Data!AJ4,"")</f>
      </c>
      <c r="N5" s="69">
        <f>IF(AND(Data!R4&lt;&gt;"",Data!L4="Accept&amp;#233;"),Data!K4,"")</f>
      </c>
    </row>
    <row x14ac:dyDescent="0.25" r="6" customHeight="1" ht="19.5" hidden="1">
      <c r="A6" s="62">
        <f>IF(AND(Data!R5&lt;&gt;"",Data!L5="Accept&amp;#233;"),Data!G5,"")</f>
      </c>
      <c r="B6" s="62">
        <f>IF(AND(Data!R5&lt;&gt;"",Data!L5="Accept&amp;#233;"),Data!L5,"")</f>
      </c>
      <c r="C6" s="63">
        <f>IF(D6&lt;&gt;"","S"&amp;TEXT(WEEKNUM(D6),"00"),"")</f>
      </c>
      <c r="D6" s="42">
        <f>IF(AND(Data!Q5&lt;&gt;"",Data!L5="Accept&amp;#233;"),Data!Q5,"")</f>
        <v>25569.041666666668</v>
      </c>
      <c r="E6" s="64">
        <f>IF(AND(Data!R5&lt;&gt;"",Data!L5="Accept&amp;#233;"),Data!R5,"")</f>
      </c>
      <c r="F6" s="65">
        <f>IF(AND(Data!R5&lt;&gt;"",Data!L5="Accept&amp;#233;"),Data!S5,"")</f>
      </c>
      <c r="G6" s="66">
        <f>IF(Data!R5='Delivery Plan'!E6,Data!U5,"")</f>
      </c>
      <c r="H6" s="53"/>
      <c r="I6" s="63">
        <f>IF(J6&lt;&gt;"","S"&amp;TEXT(WEEKNUM(J6),"00"),"")</f>
      </c>
      <c r="J6" s="42">
        <f>IF(AND(E6=Data!R5,Data!AA5&lt;&gt;""),Data!AA5,"")</f>
        <v>25569.041666666668</v>
      </c>
      <c r="K6" s="67">
        <f>IF(AND(E6=Data!R5,Data!AE5&lt;&gt;""),Data!AE5,"")</f>
        <v>25569.041666666668</v>
      </c>
      <c r="L6" s="68">
        <f>IF(E6=Data!R5,Data!AI5,"")</f>
      </c>
      <c r="M6" s="68">
        <f>IF(E6=Data!R5,Data!AJ5,"")</f>
      </c>
      <c r="N6" s="69">
        <f>IF(AND(Data!R5&lt;&gt;"",Data!L5="Accept&amp;#233;"),Data!K5,"")</f>
      </c>
    </row>
    <row x14ac:dyDescent="0.25" r="7" customHeight="1" ht="19.5" hidden="1">
      <c r="A7" s="62">
        <f>IF(AND(Data!R6&lt;&gt;"",Data!L6="Accept&amp;#233;"),Data!G6,"")</f>
      </c>
      <c r="B7" s="62">
        <f>IF(AND(Data!R6&lt;&gt;"",Data!L6="Accept&amp;#233;"),Data!L6,"")</f>
      </c>
      <c r="C7" s="63">
        <f>IF(D7&lt;&gt;"","S"&amp;TEXT(WEEKNUM(D7),"00"),"")</f>
      </c>
      <c r="D7" s="42">
        <f>IF(AND(Data!Q6&lt;&gt;"",Data!L6="Accept&amp;#233;"),Data!Q6,"")</f>
        <v>25569.041666666668</v>
      </c>
      <c r="E7" s="64">
        <f>IF(AND(Data!R6&lt;&gt;"",Data!L6="Accept&amp;#233;"),Data!R6,"")</f>
      </c>
      <c r="F7" s="65">
        <f>IF(AND(Data!R6&lt;&gt;"",Data!L6="Accept&amp;#233;"),Data!S6,"")</f>
      </c>
      <c r="G7" s="66">
        <f>IF(Data!R6='Delivery Plan'!E7,Data!U6,"")</f>
      </c>
      <c r="H7" s="53"/>
      <c r="I7" s="63">
        <f>IF(J7&lt;&gt;"","S"&amp;TEXT(WEEKNUM(J7),"00"),"")</f>
      </c>
      <c r="J7" s="42">
        <f>IF(AND(E7=Data!R6,Data!AA6&lt;&gt;""),Data!AA6,"")</f>
        <v>25569.041666666668</v>
      </c>
      <c r="K7" s="67">
        <f>IF(AND(E7=Data!R6,Data!AE6&lt;&gt;""),Data!AE6,"")</f>
        <v>25569.041666666668</v>
      </c>
      <c r="L7" s="68">
        <f>IF(E7=Data!R6,Data!AI6,"")</f>
      </c>
      <c r="M7" s="68">
        <f>IF(E7=Data!R6,Data!AJ6,"")</f>
      </c>
      <c r="N7" s="69">
        <f>IF(AND(Data!R6&lt;&gt;"",Data!L6="Accept&amp;#233;"),Data!K6,"")</f>
      </c>
    </row>
    <row x14ac:dyDescent="0.25" r="8" customHeight="1" ht="19.5" hidden="1">
      <c r="A8" s="62">
        <f>IF(AND(Data!R7&lt;&gt;"",Data!L7="Accept&amp;#233;"),Data!G7,"")</f>
      </c>
      <c r="B8" s="62">
        <f>IF(AND(Data!R7&lt;&gt;"",Data!L7="Accept&amp;#233;"),Data!L7,"")</f>
      </c>
      <c r="C8" s="63">
        <f>IF(D8&lt;&gt;"","S"&amp;TEXT(WEEKNUM(D8),"00"),"")</f>
      </c>
      <c r="D8" s="42">
        <f>IF(AND(Data!Q7&lt;&gt;"",Data!L7="Accept&amp;#233;"),Data!Q7,"")</f>
        <v>25569.041666666668</v>
      </c>
      <c r="E8" s="64">
        <f>IF(AND(Data!R7&lt;&gt;"",Data!L7="Accept&amp;#233;"),Data!R7,"")</f>
      </c>
      <c r="F8" s="65">
        <f>IF(AND(Data!R7&lt;&gt;"",Data!L7="Accept&amp;#233;"),Data!S7,"")</f>
      </c>
      <c r="G8" s="66">
        <f>IF(Data!R7='Delivery Plan'!E8,Data!U7,"")</f>
      </c>
      <c r="H8" s="53"/>
      <c r="I8" s="63">
        <f>IF(J8&lt;&gt;"","S"&amp;TEXT(WEEKNUM(J8),"00"),"")</f>
      </c>
      <c r="J8" s="42">
        <f>IF(AND(E8=Data!R7,Data!AA7&lt;&gt;""),Data!AA7,"")</f>
        <v>25569.041666666668</v>
      </c>
      <c r="K8" s="67">
        <f>IF(AND(E8=Data!R7,Data!AE7&lt;&gt;""),Data!AE7,"")</f>
        <v>25569.041666666668</v>
      </c>
      <c r="L8" s="68">
        <f>IF(E8=Data!R7,Data!AI7,"")</f>
      </c>
      <c r="M8" s="68">
        <f>IF(E8=Data!R7,Data!AJ7,"")</f>
      </c>
      <c r="N8" s="69">
        <f>IF(AND(Data!R7&lt;&gt;"",Data!L7="Accept&amp;#233;"),Data!K7,"")</f>
      </c>
    </row>
    <row x14ac:dyDescent="0.25" r="9" customHeight="1" ht="19.5" hidden="1">
      <c r="A9" s="62">
        <f>IF(AND(Data!R8&lt;&gt;"",Data!L8="Accept&amp;#233;"),Data!G8,"")</f>
      </c>
      <c r="B9" s="62">
        <f>IF(AND(Data!R8&lt;&gt;"",Data!L8="Accept&amp;#233;"),Data!L8,"")</f>
      </c>
      <c r="C9" s="63">
        <f>IF(D9&lt;&gt;"","S"&amp;TEXT(WEEKNUM(D9),"00"),"")</f>
      </c>
      <c r="D9" s="42">
        <f>IF(AND(Data!Q8&lt;&gt;"",Data!L8="Accept&amp;#233;"),Data!Q8,"")</f>
        <v>25569.041666666668</v>
      </c>
      <c r="E9" s="64">
        <f>IF(AND(Data!R8&lt;&gt;"",Data!L8="Accept&amp;#233;"),Data!R8,"")</f>
      </c>
      <c r="F9" s="65">
        <f>IF(AND(Data!R8&lt;&gt;"",Data!L8="Accept&amp;#233;"),Data!S8,"")</f>
      </c>
      <c r="G9" s="66">
        <f>IF(Data!R8='Delivery Plan'!E9,Data!U8,"")</f>
      </c>
      <c r="H9" s="53"/>
      <c r="I9" s="63">
        <f>IF(J9&lt;&gt;"","S"&amp;TEXT(WEEKNUM(J9),"00"),"")</f>
      </c>
      <c r="J9" s="42">
        <f>IF(AND(E9=Data!R8,Data!AA8&lt;&gt;""),Data!AA8,"")</f>
        <v>25569.041666666668</v>
      </c>
      <c r="K9" s="67">
        <f>IF(AND(E9=Data!R8,Data!AE8&lt;&gt;""),Data!AE8,"")</f>
        <v>25569.041666666668</v>
      </c>
      <c r="L9" s="68">
        <f>IF(E9=Data!R8,Data!AI8,"")</f>
      </c>
      <c r="M9" s="68">
        <f>IF(E9=Data!R8,Data!AJ8,"")</f>
      </c>
      <c r="N9" s="69">
        <f>IF(AND(Data!R8&lt;&gt;"",Data!L8="Accept&amp;#233;"),Data!K8,"")</f>
      </c>
    </row>
    <row x14ac:dyDescent="0.25" r="10" customHeight="1" ht="19.5" hidden="1">
      <c r="A10" s="62">
        <f>IF(AND(Data!R9&lt;&gt;"",Data!L9="Accept&amp;#233;"),Data!G9,"")</f>
      </c>
      <c r="B10" s="62">
        <f>IF(AND(Data!R9&lt;&gt;"",Data!L9="Accept&amp;#233;"),Data!L9,"")</f>
      </c>
      <c r="C10" s="63">
        <f>IF(D10&lt;&gt;"","S"&amp;TEXT(WEEKNUM(D10),"00"),"")</f>
      </c>
      <c r="D10" s="42">
        <f>IF(AND(Data!Q9&lt;&gt;"",Data!L9="Accept&amp;#233;"),Data!Q9,"")</f>
        <v>25569.041666666668</v>
      </c>
      <c r="E10" s="64">
        <f>IF(AND(Data!R9&lt;&gt;"",Data!L9="Accept&amp;#233;"),Data!R9,"")</f>
      </c>
      <c r="F10" s="65">
        <f>IF(AND(Data!R9&lt;&gt;"",Data!L9="Accept&amp;#233;"),Data!S9,"")</f>
      </c>
      <c r="G10" s="66">
        <f>IF(Data!R9='Delivery Plan'!E10,Data!U9,"")</f>
      </c>
      <c r="H10" s="53"/>
      <c r="I10" s="63">
        <f>IF(J10&lt;&gt;"","S"&amp;TEXT(WEEKNUM(J10),"00"),"")</f>
      </c>
      <c r="J10" s="42">
        <f>IF(AND(E10=Data!R9,Data!AA9&lt;&gt;""),Data!AA9,"")</f>
        <v>25569.041666666668</v>
      </c>
      <c r="K10" s="67">
        <f>IF(AND(E10=Data!R9,Data!AE9&lt;&gt;""),Data!AE9,"")</f>
        <v>25569.041666666668</v>
      </c>
      <c r="L10" s="68">
        <f>IF(E10=Data!R9,Data!AI9,"")</f>
      </c>
      <c r="M10" s="68">
        <f>IF(E10=Data!R9,Data!AJ9,"")</f>
      </c>
      <c r="N10" s="69">
        <f>IF(AND(Data!R9&lt;&gt;"",Data!L9="Accept&amp;#233;"),Data!K9,"")</f>
      </c>
    </row>
    <row x14ac:dyDescent="0.25" r="11" customHeight="1" ht="19.5" hidden="1">
      <c r="A11" s="62">
        <f>IF(AND(Data!R10&lt;&gt;"",Data!L10="Accept&amp;#233;"),Data!G10,"")</f>
      </c>
      <c r="B11" s="62">
        <f>IF(AND(Data!R10&lt;&gt;"",Data!L10="Accept&amp;#233;"),Data!L10,"")</f>
      </c>
      <c r="C11" s="63">
        <f>IF(D11&lt;&gt;"","S"&amp;TEXT(WEEKNUM(D11),"00"),"")</f>
      </c>
      <c r="D11" s="42">
        <f>IF(AND(Data!Q10&lt;&gt;"",Data!L10="Accept&amp;#233;"),Data!Q10,"")</f>
        <v>25569.041666666668</v>
      </c>
      <c r="E11" s="64">
        <f>IF(AND(Data!R10&lt;&gt;"",Data!L10="Accept&amp;#233;"),Data!R10,"")</f>
      </c>
      <c r="F11" s="65">
        <f>IF(AND(Data!R10&lt;&gt;"",Data!L10="Accept&amp;#233;"),Data!S10,"")</f>
      </c>
      <c r="G11" s="66">
        <f>IF(Data!R10='Delivery Plan'!E11,Data!U10,"")</f>
      </c>
      <c r="H11" s="53"/>
      <c r="I11" s="63">
        <f>IF(J11&lt;&gt;"","S"&amp;TEXT(WEEKNUM(J11),"00"),"")</f>
      </c>
      <c r="J11" s="42">
        <f>IF(AND(E11=Data!R10,Data!AA10&lt;&gt;""),Data!AA10,"")</f>
        <v>25569.041666666668</v>
      </c>
      <c r="K11" s="67">
        <f>IF(AND(E11=Data!R10,Data!AE10&lt;&gt;""),Data!AE10,"")</f>
        <v>25569.041666666668</v>
      </c>
      <c r="L11" s="68">
        <f>IF(E11=Data!R10,Data!AI10,"")</f>
      </c>
      <c r="M11" s="68">
        <f>IF(E11=Data!R10,Data!AJ10,"")</f>
      </c>
      <c r="N11" s="69">
        <f>IF(AND(Data!R10&lt;&gt;"",Data!L10="Accept&amp;#233;"),Data!K10,"")</f>
      </c>
    </row>
    <row x14ac:dyDescent="0.25" r="12" customHeight="1" ht="19.5" hidden="1">
      <c r="A12" s="62">
        <f>IF(AND(Data!R11&lt;&gt;"",Data!L11="Accept&amp;#233;"),Data!G11,"")</f>
      </c>
      <c r="B12" s="62">
        <f>IF(AND(Data!R11&lt;&gt;"",Data!L11="Accept&amp;#233;"),Data!L11,"")</f>
      </c>
      <c r="C12" s="63">
        <f>IF(D12&lt;&gt;"","S"&amp;TEXT(WEEKNUM(D12),"00"),"")</f>
      </c>
      <c r="D12" s="42">
        <f>IF(AND(Data!Q11&lt;&gt;"",Data!L11="Accept&amp;#233;"),Data!Q11,"")</f>
        <v>25569.041666666668</v>
      </c>
      <c r="E12" s="64">
        <f>IF(AND(Data!R11&lt;&gt;"",Data!L11="Accept&amp;#233;"),Data!R11,"")</f>
      </c>
      <c r="F12" s="65">
        <f>IF(AND(Data!R11&lt;&gt;"",Data!L11="Accept&amp;#233;"),Data!S11,"")</f>
      </c>
      <c r="G12" s="66">
        <f>IF(Data!R11='Delivery Plan'!E12,Data!U11,"")</f>
      </c>
      <c r="H12" s="53"/>
      <c r="I12" s="63">
        <f>IF(J12&lt;&gt;"","S"&amp;TEXT(WEEKNUM(J12),"00"),"")</f>
      </c>
      <c r="J12" s="42">
        <f>IF(AND(E12=Data!R11,Data!AA11&lt;&gt;""),Data!AA11,"")</f>
        <v>25569.041666666668</v>
      </c>
      <c r="K12" s="67">
        <f>IF(AND(E12=Data!R11,Data!AE11&lt;&gt;""),Data!AE11,"")</f>
        <v>25569.041666666668</v>
      </c>
      <c r="L12" s="68">
        <f>IF(E12=Data!R11,Data!AI11,"")</f>
      </c>
      <c r="M12" s="68">
        <f>IF(E12=Data!R11,Data!AJ11,"")</f>
      </c>
      <c r="N12" s="69">
        <f>IF(AND(Data!R11&lt;&gt;"",Data!L11="Accept&amp;#233;"),Data!K11,"")</f>
      </c>
    </row>
    <row x14ac:dyDescent="0.25" r="13" customHeight="1" ht="19.5" hidden="1">
      <c r="A13" s="62">
        <f>IF(AND(Data!R12&lt;&gt;"",Data!L12="Accept&amp;#233;"),Data!G12,"")</f>
      </c>
      <c r="B13" s="62">
        <f>IF(AND(Data!R12&lt;&gt;"",Data!L12="Accept&amp;#233;"),Data!L12,"")</f>
      </c>
      <c r="C13" s="63">
        <f>IF(D13&lt;&gt;"","S"&amp;TEXT(WEEKNUM(D13),"00"),"")</f>
      </c>
      <c r="D13" s="42">
        <f>IF(AND(Data!Q12&lt;&gt;"",Data!L12="Accept&amp;#233;"),Data!Q12,"")</f>
        <v>25569.041666666668</v>
      </c>
      <c r="E13" s="64">
        <f>IF(AND(Data!R12&lt;&gt;"",Data!L12="Accept&amp;#233;"),Data!R12,"")</f>
      </c>
      <c r="F13" s="65">
        <f>IF(AND(Data!R12&lt;&gt;"",Data!L12="Accept&amp;#233;"),Data!S12,"")</f>
      </c>
      <c r="G13" s="66">
        <f>IF(Data!R12='Delivery Plan'!E13,Data!U12,"")</f>
      </c>
      <c r="H13" s="53"/>
      <c r="I13" s="63">
        <f>IF(J13&lt;&gt;"","S"&amp;TEXT(WEEKNUM(J13),"00"),"")</f>
      </c>
      <c r="J13" s="42">
        <f>IF(AND(E13=Data!R12,Data!AA12&lt;&gt;""),Data!AA12,"")</f>
        <v>25569.041666666668</v>
      </c>
      <c r="K13" s="67">
        <f>IF(AND(E13=Data!R12,Data!AE12&lt;&gt;""),Data!AE12,"")</f>
        <v>25569.041666666668</v>
      </c>
      <c r="L13" s="68">
        <f>IF(E13=Data!R12,Data!AI12,"")</f>
      </c>
      <c r="M13" s="68">
        <f>IF(E13=Data!R12,Data!AJ12,"")</f>
      </c>
      <c r="N13" s="69">
        <f>IF(AND(Data!R12&lt;&gt;"",Data!L12="Accept&amp;#233;"),Data!K12,"")</f>
      </c>
    </row>
    <row x14ac:dyDescent="0.25" r="14" customHeight="1" ht="19.5" hidden="1">
      <c r="A14" s="62">
        <f>IF(AND(Data!R13&lt;&gt;"",Data!L13="Accept&amp;#233;"),Data!G13,"")</f>
      </c>
      <c r="B14" s="62">
        <f>IF(AND(Data!R13&lt;&gt;"",Data!L13="Accept&amp;#233;"),Data!L13,"")</f>
      </c>
      <c r="C14" s="63">
        <f>IF(D14&lt;&gt;"","S"&amp;TEXT(WEEKNUM(D14),"00"),"")</f>
      </c>
      <c r="D14" s="42">
        <f>IF(AND(Data!Q13&lt;&gt;"",Data!L13="Accept&amp;#233;"),Data!Q13,"")</f>
        <v>25569.041666666668</v>
      </c>
      <c r="E14" s="64">
        <f>IF(AND(Data!R13&lt;&gt;"",Data!L13="Accept&amp;#233;"),Data!R13,"")</f>
      </c>
      <c r="F14" s="65">
        <f>IF(AND(Data!R13&lt;&gt;"",Data!L13="Accept&amp;#233;"),Data!S13,"")</f>
      </c>
      <c r="G14" s="66">
        <f>IF(Data!R13='Delivery Plan'!E14,Data!U13,"")</f>
      </c>
      <c r="H14" s="53"/>
      <c r="I14" s="63">
        <f>IF(J14&lt;&gt;"","S"&amp;TEXT(WEEKNUM(J14),"00"),"")</f>
      </c>
      <c r="J14" s="42">
        <f>IF(AND(E14=Data!R13,Data!AA13&lt;&gt;""),Data!AA13,"")</f>
        <v>25569.041666666668</v>
      </c>
      <c r="K14" s="67">
        <f>IF(AND(E14=Data!R13,Data!AE13&lt;&gt;""),Data!AE13,"")</f>
        <v>25569.041666666668</v>
      </c>
      <c r="L14" s="68">
        <f>IF(E14=Data!R13,Data!AI13,"")</f>
      </c>
      <c r="M14" s="68">
        <f>IF(E14=Data!R13,Data!AJ13,"")</f>
      </c>
      <c r="N14" s="69">
        <f>IF(AND(Data!R13&lt;&gt;"",Data!L13="Accept&amp;#233;"),Data!K13,"")</f>
      </c>
    </row>
    <row x14ac:dyDescent="0.25" r="15" customHeight="1" ht="19.5" hidden="1">
      <c r="A15" s="62">
        <f>IF(AND(Data!R14&lt;&gt;"",Data!L14="Accept&amp;#233;"),Data!G14,"")</f>
      </c>
      <c r="B15" s="62">
        <f>IF(AND(Data!R14&lt;&gt;"",Data!L14="Accept&amp;#233;"),Data!L14,"")</f>
      </c>
      <c r="C15" s="63">
        <f>IF(D15&lt;&gt;"","S"&amp;TEXT(WEEKNUM(D15),"00"),"")</f>
      </c>
      <c r="D15" s="42">
        <f>IF(AND(Data!Q14&lt;&gt;"",Data!L14="Accept&amp;#233;"),Data!Q14,"")</f>
        <v>25569.041666666668</v>
      </c>
      <c r="E15" s="64">
        <f>IF(AND(Data!R14&lt;&gt;"",Data!L14="Accept&amp;#233;"),Data!R14,"")</f>
      </c>
      <c r="F15" s="65">
        <f>IF(AND(Data!R14&lt;&gt;"",Data!L14="Accept&amp;#233;"),Data!S14,"")</f>
      </c>
      <c r="G15" s="66">
        <f>IF(Data!R14='Delivery Plan'!E15,Data!U14,"")</f>
      </c>
      <c r="H15" s="53"/>
      <c r="I15" s="63">
        <f>IF(J15&lt;&gt;"","S"&amp;TEXT(WEEKNUM(J15),"00"),"")</f>
      </c>
      <c r="J15" s="42">
        <f>IF(AND(E15=Data!R14,Data!AA14&lt;&gt;""),Data!AA14,"")</f>
        <v>25569.041666666668</v>
      </c>
      <c r="K15" s="67">
        <f>IF(AND(E15=Data!R14,Data!AE14&lt;&gt;""),Data!AE14,"")</f>
        <v>25569.041666666668</v>
      </c>
      <c r="L15" s="68">
        <f>IF(E15=Data!R14,Data!AI14,"")</f>
      </c>
      <c r="M15" s="68">
        <f>IF(E15=Data!R14,Data!AJ14,"")</f>
      </c>
      <c r="N15" s="69">
        <f>IF(AND(Data!R14&lt;&gt;"",Data!L14="Accept&amp;#233;"),Data!K14,"")</f>
      </c>
    </row>
    <row x14ac:dyDescent="0.25" r="16" customHeight="1" ht="19.5" hidden="1">
      <c r="A16" s="62">
        <f>IF(AND(Data!R15&lt;&gt;"",Data!L15="Accept&amp;#233;"),Data!G15,"")</f>
      </c>
      <c r="B16" s="62">
        <f>IF(AND(Data!R15&lt;&gt;"",Data!L15="Accept&amp;#233;"),Data!L15,"")</f>
      </c>
      <c r="C16" s="63">
        <f>IF(D16&lt;&gt;"","S"&amp;TEXT(WEEKNUM(D16),"00"),"")</f>
      </c>
      <c r="D16" s="42">
        <f>IF(AND(Data!Q15&lt;&gt;"",Data!L15="Accept&amp;#233;"),Data!Q15,"")</f>
        <v>25569.041666666668</v>
      </c>
      <c r="E16" s="64">
        <f>IF(AND(Data!R15&lt;&gt;"",Data!L15="Accept&amp;#233;"),Data!R15,"")</f>
      </c>
      <c r="F16" s="65">
        <f>IF(AND(Data!R15&lt;&gt;"",Data!L15="Accept&amp;#233;"),Data!S15,"")</f>
      </c>
      <c r="G16" s="66">
        <f>IF(Data!R15='Delivery Plan'!E16,Data!U15,"")</f>
      </c>
      <c r="H16" s="53"/>
      <c r="I16" s="63">
        <f>IF(J16&lt;&gt;"","S"&amp;TEXT(WEEKNUM(J16),"00"),"")</f>
      </c>
      <c r="J16" s="42">
        <f>IF(AND(E16=Data!R15,Data!AA15&lt;&gt;""),Data!AA15,"")</f>
        <v>25569.041666666668</v>
      </c>
      <c r="K16" s="67">
        <f>IF(AND(E16=Data!R15,Data!AE15&lt;&gt;""),Data!AE15,"")</f>
        <v>25569.041666666668</v>
      </c>
      <c r="L16" s="68">
        <f>IF(E16=Data!R15,Data!AI15,"")</f>
      </c>
      <c r="M16" s="68">
        <f>IF(E16=Data!R15,Data!AJ15,"")</f>
      </c>
      <c r="N16" s="69">
        <f>IF(AND(Data!R15&lt;&gt;"",Data!L15="Accept&amp;#233;"),Data!K15,"")</f>
      </c>
    </row>
    <row x14ac:dyDescent="0.25" r="17" customHeight="1" ht="19.5" hidden="1">
      <c r="A17" s="62">
        <f>IF(AND(Data!R16&lt;&gt;"",Data!L16="Accept&amp;#233;"),Data!G16,"")</f>
      </c>
      <c r="B17" s="62">
        <f>IF(AND(Data!R16&lt;&gt;"",Data!L16="Accept&amp;#233;"),Data!L16,"")</f>
      </c>
      <c r="C17" s="63">
        <f>IF(D17&lt;&gt;"","S"&amp;TEXT(WEEKNUM(D17),"00"),"")</f>
      </c>
      <c r="D17" s="42">
        <f>IF(AND(Data!Q16&lt;&gt;"",Data!L16="Accept&amp;#233;"),Data!Q16,"")</f>
        <v>25569.041666666668</v>
      </c>
      <c r="E17" s="64">
        <f>IF(AND(Data!R16&lt;&gt;"",Data!L16="Accept&amp;#233;"),Data!R16,"")</f>
      </c>
      <c r="F17" s="65">
        <f>IF(AND(Data!R16&lt;&gt;"",Data!L16="Accept&amp;#233;"),Data!S16,"")</f>
      </c>
      <c r="G17" s="66">
        <f>IF(Data!R16='Delivery Plan'!E17,Data!U16,"")</f>
      </c>
      <c r="H17" s="53"/>
      <c r="I17" s="63">
        <f>IF(J17&lt;&gt;"","S"&amp;TEXT(WEEKNUM(J17),"00"),"")</f>
      </c>
      <c r="J17" s="42">
        <f>IF(AND(E17=Data!R16,Data!AA16&lt;&gt;""),Data!AA16,"")</f>
        <v>25569.041666666668</v>
      </c>
      <c r="K17" s="67">
        <f>IF(AND(E17=Data!R16,Data!AE16&lt;&gt;""),Data!AE16,"")</f>
        <v>25569.041666666668</v>
      </c>
      <c r="L17" s="68">
        <f>IF(E17=Data!R16,Data!AI16,"")</f>
      </c>
      <c r="M17" s="68">
        <f>IF(E17=Data!R16,Data!AJ16,"")</f>
      </c>
      <c r="N17" s="69">
        <f>IF(AND(Data!R16&lt;&gt;"",Data!L16="Accept&amp;#233;"),Data!K16,"")</f>
      </c>
    </row>
    <row x14ac:dyDescent="0.25" r="18" customHeight="1" ht="19.5" hidden="1">
      <c r="A18" s="62">
        <f>IF(AND(Data!R17&lt;&gt;"",Data!L17="Accept&amp;#233;"),Data!G17,"")</f>
      </c>
      <c r="B18" s="62">
        <f>IF(AND(Data!R17&lt;&gt;"",Data!L17="Accept&amp;#233;"),Data!L17,"")</f>
      </c>
      <c r="C18" s="63">
        <f>IF(D18&lt;&gt;"","S"&amp;TEXT(WEEKNUM(D18),"00"),"")</f>
      </c>
      <c r="D18" s="42">
        <f>IF(AND(Data!Q17&lt;&gt;"",Data!L17="Accept&amp;#233;"),Data!Q17,"")</f>
        <v>25569.041666666668</v>
      </c>
      <c r="E18" s="64">
        <f>IF(AND(Data!R17&lt;&gt;"",Data!L17="Accept&amp;#233;"),Data!R17,"")</f>
      </c>
      <c r="F18" s="65">
        <f>IF(AND(Data!R17&lt;&gt;"",Data!L17="Accept&amp;#233;"),Data!S17,"")</f>
      </c>
      <c r="G18" s="66">
        <f>IF(Data!R17='Delivery Plan'!E18,Data!U17,"")</f>
      </c>
      <c r="H18" s="53"/>
      <c r="I18" s="63">
        <f>IF(J18&lt;&gt;"","S"&amp;TEXT(WEEKNUM(J18),"00"),"")</f>
      </c>
      <c r="J18" s="42">
        <f>IF(AND(E18=Data!R17,Data!AA17&lt;&gt;""),Data!AA17,"")</f>
        <v>25569.041666666668</v>
      </c>
      <c r="K18" s="67">
        <f>IF(AND(E18=Data!R17,Data!AE17&lt;&gt;""),Data!AE17,"")</f>
        <v>25569.041666666668</v>
      </c>
      <c r="L18" s="68">
        <f>IF(E18=Data!R17,Data!AI17,"")</f>
      </c>
      <c r="M18" s="68">
        <f>IF(E18=Data!R17,Data!AJ17,"")</f>
      </c>
      <c r="N18" s="69">
        <f>IF(AND(Data!R17&lt;&gt;"",Data!L17="Accept&amp;#233;"),Data!K17,"")</f>
      </c>
    </row>
    <row x14ac:dyDescent="0.25" r="19" customHeight="1" ht="19.5" hidden="1">
      <c r="A19" s="62">
        <f>IF(AND(Data!R18&lt;&gt;"",Data!L18="Accept&amp;#233;"),Data!G18,"")</f>
      </c>
      <c r="B19" s="62">
        <f>IF(AND(Data!R18&lt;&gt;"",Data!L18="Accept&amp;#233;"),Data!L18,"")</f>
      </c>
      <c r="C19" s="63">
        <f>IF(D19&lt;&gt;"","S"&amp;TEXT(WEEKNUM(D19),"00"),"")</f>
      </c>
      <c r="D19" s="42">
        <f>IF(AND(Data!Q18&lt;&gt;"",Data!L18="Accept&amp;#233;"),Data!Q18,"")</f>
        <v>25569.041666666668</v>
      </c>
      <c r="E19" s="64">
        <f>IF(AND(Data!R18&lt;&gt;"",Data!L18="Accept&amp;#233;"),Data!R18,"")</f>
      </c>
      <c r="F19" s="65">
        <f>IF(AND(Data!R18&lt;&gt;"",Data!L18="Accept&amp;#233;"),Data!S18,"")</f>
      </c>
      <c r="G19" s="66">
        <f>IF(Data!R18='Delivery Plan'!E19,Data!U18,"")</f>
      </c>
      <c r="H19" s="53"/>
      <c r="I19" s="63">
        <f>IF(J19&lt;&gt;"","S"&amp;TEXT(WEEKNUM(J19),"00"),"")</f>
      </c>
      <c r="J19" s="42">
        <f>IF(AND(E19=Data!R18,Data!AA18&lt;&gt;""),Data!AA18,"")</f>
        <v>25569.041666666668</v>
      </c>
      <c r="K19" s="67">
        <f>IF(AND(E19=Data!R18,Data!AE18&lt;&gt;""),Data!AE18,"")</f>
        <v>25569.041666666668</v>
      </c>
      <c r="L19" s="68">
        <f>IF(E19=Data!R18,Data!AI18,"")</f>
      </c>
      <c r="M19" s="68">
        <f>IF(E19=Data!R18,Data!AJ18,"")</f>
      </c>
      <c r="N19" s="69">
        <f>IF(AND(Data!R18&lt;&gt;"",Data!L18="Accept&amp;#233;"),Data!K18,"")</f>
      </c>
    </row>
    <row x14ac:dyDescent="0.25" r="20" customHeight="1" ht="19.5" hidden="1">
      <c r="A20" s="62">
        <f>IF(AND(Data!R19&lt;&gt;"",Data!L19="Accept&amp;#233;"),Data!G19,"")</f>
      </c>
      <c r="B20" s="62">
        <f>IF(AND(Data!R19&lt;&gt;"",Data!L19="Accept&amp;#233;"),Data!L19,"")</f>
      </c>
      <c r="C20" s="63">
        <f>IF(D20&lt;&gt;"","S"&amp;TEXT(WEEKNUM(D20),"00"),"")</f>
      </c>
      <c r="D20" s="42">
        <f>IF(AND(Data!Q19&lt;&gt;"",Data!L19="Accept&amp;#233;"),Data!Q19,"")</f>
        <v>25569.041666666668</v>
      </c>
      <c r="E20" s="64">
        <f>IF(AND(Data!R19&lt;&gt;"",Data!L19="Accept&amp;#233;"),Data!R19,"")</f>
      </c>
      <c r="F20" s="65">
        <f>IF(AND(Data!R19&lt;&gt;"",Data!L19="Accept&amp;#233;"),Data!S19,"")</f>
      </c>
      <c r="G20" s="66">
        <f>IF(Data!R19='Delivery Plan'!E20,Data!U19,"")</f>
      </c>
      <c r="H20" s="53"/>
      <c r="I20" s="63">
        <f>IF(J20&lt;&gt;"","S"&amp;TEXT(WEEKNUM(J20),"00"),"")</f>
      </c>
      <c r="J20" s="42">
        <f>IF(AND(E20=Data!R19,Data!AA19&lt;&gt;""),Data!AA19,"")</f>
        <v>25569.041666666668</v>
      </c>
      <c r="K20" s="67">
        <f>IF(AND(E20=Data!R19,Data!AE19&lt;&gt;""),Data!AE19,"")</f>
        <v>25569.041666666668</v>
      </c>
      <c r="L20" s="68">
        <f>IF(E20=Data!R19,Data!AI19,"")</f>
      </c>
      <c r="M20" s="68">
        <f>IF(E20=Data!R19,Data!AJ19,"")</f>
      </c>
      <c r="N20" s="69">
        <f>IF(AND(Data!R19&lt;&gt;"",Data!L19="Accept&amp;#233;"),Data!K19,"")</f>
      </c>
    </row>
    <row x14ac:dyDescent="0.25" r="21" customHeight="1" ht="19.5" hidden="1">
      <c r="A21" s="62">
        <f>IF(AND(Data!R20&lt;&gt;"",Data!L20="Accept&amp;#233;"),Data!G20,"")</f>
      </c>
      <c r="B21" s="62">
        <f>IF(AND(Data!R20&lt;&gt;"",Data!L20="Accept&amp;#233;"),Data!L20,"")</f>
      </c>
      <c r="C21" s="63">
        <f>IF(D21&lt;&gt;"","S"&amp;TEXT(WEEKNUM(D21),"00"),"")</f>
      </c>
      <c r="D21" s="42">
        <f>IF(AND(Data!Q20&lt;&gt;"",Data!L20="Accept&amp;#233;"),Data!Q20,"")</f>
        <v>25569.041666666668</v>
      </c>
      <c r="E21" s="64">
        <f>IF(AND(Data!R20&lt;&gt;"",Data!L20="Accept&amp;#233;"),Data!R20,"")</f>
      </c>
      <c r="F21" s="65">
        <f>IF(AND(Data!R20&lt;&gt;"",Data!L20="Accept&amp;#233;"),Data!S20,"")</f>
      </c>
      <c r="G21" s="66">
        <f>IF(Data!R20='Delivery Plan'!E21,Data!U20,"")</f>
      </c>
      <c r="H21" s="53"/>
      <c r="I21" s="63">
        <f>IF(J21&lt;&gt;"","S"&amp;TEXT(WEEKNUM(J21),"00"),"")</f>
      </c>
      <c r="J21" s="42">
        <f>IF(AND(E21=Data!R20,Data!AA20&lt;&gt;""),Data!AA20,"")</f>
        <v>25569.041666666668</v>
      </c>
      <c r="K21" s="67">
        <f>IF(AND(E21=Data!R20,Data!AE20&lt;&gt;""),Data!AE20,"")</f>
        <v>25569.041666666668</v>
      </c>
      <c r="L21" s="68">
        <f>IF(E21=Data!R20,Data!AI20,"")</f>
      </c>
      <c r="M21" s="68">
        <f>IF(E21=Data!R20,Data!AJ20,"")</f>
      </c>
      <c r="N21" s="69">
        <f>IF(AND(Data!R20&lt;&gt;"",Data!L20="Accept&amp;#233;"),Data!K20,"")</f>
      </c>
    </row>
    <row x14ac:dyDescent="0.25" r="22" customHeight="1" ht="19.5" hidden="1">
      <c r="A22" s="62">
        <f>IF(AND(Data!R21&lt;&gt;"",Data!L21="Accept&amp;#233;"),Data!G21,"")</f>
      </c>
      <c r="B22" s="62">
        <f>IF(AND(Data!R21&lt;&gt;"",Data!L21="Accept&amp;#233;"),Data!L21,"")</f>
      </c>
      <c r="C22" s="63">
        <f>IF(D22&lt;&gt;"","S"&amp;TEXT(WEEKNUM(D22),"00"),"")</f>
      </c>
      <c r="D22" s="42">
        <f>IF(AND(Data!Q21&lt;&gt;"",Data!L21="Accept&amp;#233;"),Data!Q21,"")</f>
        <v>25569.041666666668</v>
      </c>
      <c r="E22" s="64">
        <f>IF(AND(Data!R21&lt;&gt;"",Data!L21="Accept&amp;#233;"),Data!R21,"")</f>
      </c>
      <c r="F22" s="65">
        <f>IF(AND(Data!R21&lt;&gt;"",Data!L21="Accept&amp;#233;"),Data!S21,"")</f>
      </c>
      <c r="G22" s="66">
        <f>IF(Data!R21='Delivery Plan'!E22,Data!U21,"")</f>
      </c>
      <c r="H22" s="53"/>
      <c r="I22" s="63">
        <f>IF(J22&lt;&gt;"","S"&amp;TEXT(WEEKNUM(J22),"00"),"")</f>
      </c>
      <c r="J22" s="42">
        <f>IF(AND(E22=Data!R21,Data!AA21&lt;&gt;""),Data!AA21,"")</f>
        <v>25569.041666666668</v>
      </c>
      <c r="K22" s="67">
        <f>IF(AND(E22=Data!R21,Data!AE21&lt;&gt;""),Data!AE21,"")</f>
        <v>25569.041666666668</v>
      </c>
      <c r="L22" s="68">
        <f>IF(E22=Data!R21,Data!AI21,"")</f>
      </c>
      <c r="M22" s="68">
        <f>IF(E22=Data!R21,Data!AJ21,"")</f>
      </c>
      <c r="N22" s="69">
        <f>IF(AND(Data!R21&lt;&gt;"",Data!L21="Accept&amp;#233;"),Data!K21,"")</f>
      </c>
    </row>
    <row x14ac:dyDescent="0.25" r="23" customHeight="1" ht="15">
      <c r="A23" s="62">
        <f>IF(AND(Data!R22&lt;&gt;"",Data!L22="Accept&amp;#233;"),Data!G22,"")</f>
      </c>
      <c r="B23" s="62">
        <f>IF(AND(Data!R22&lt;&gt;"",Data!L22="Accept&amp;#233;"),Data!L22,"")</f>
      </c>
      <c r="C23" s="63">
        <f>IF(D23&lt;&gt;"","S"&amp;TEXT(WEEKNUM(D23),"00"),"")</f>
      </c>
      <c r="D23" s="42">
        <f>IF(AND(Data!Q22&lt;&gt;"",Data!L22="Accept&amp;#233;"),Data!Q22,"")</f>
        <v>25569.041666666668</v>
      </c>
      <c r="E23" s="64">
        <f>IF(AND(Data!R22&lt;&gt;"",Data!L22="Accept&amp;#233;"),Data!R22,"")</f>
      </c>
      <c r="F23" s="65">
        <f>IF(AND(Data!R22&lt;&gt;"",Data!L22="Accept&amp;#233;"),Data!S22,"")</f>
      </c>
      <c r="G23" s="66">
        <f>IF(Data!R22='Delivery Plan'!E23,Data!U22,"")</f>
      </c>
      <c r="H23" s="53"/>
      <c r="I23" s="63">
        <f>IF(J23&lt;&gt;"","S"&amp;TEXT(WEEKNUM(J23),"00"),"")</f>
      </c>
      <c r="J23" s="42">
        <f>IF(AND(E23=Data!R22,Data!AA22&lt;&gt;""),Data!AA22,"")</f>
        <v>25569.041666666668</v>
      </c>
      <c r="K23" s="67">
        <f>IF(AND(E23=Data!R22,Data!AE22&lt;&gt;""),Data!AE22,"")</f>
        <v>25569.041666666668</v>
      </c>
      <c r="L23" s="68">
        <f>IF(E23=Data!R22,Data!AI22,"")</f>
      </c>
      <c r="M23" s="68">
        <f>IF(E23=Data!R22,Data!AJ22,"")</f>
      </c>
      <c r="N23" s="69">
        <f>IF(AND(Data!R22&lt;&gt;"",Data!L22="Accept&amp;#233;"),Data!K22,"")</f>
      </c>
    </row>
    <row x14ac:dyDescent="0.25" r="24" customHeight="1" ht="19.5" hidden="1">
      <c r="A24" s="62">
        <f>IF(AND(Data!R23&lt;&gt;"",Data!L23="Accept&amp;#233;"),Data!G23,"")</f>
      </c>
      <c r="B24" s="62">
        <f>IF(AND(Data!R23&lt;&gt;"",Data!L23="Accept&amp;#233;"),Data!L23,"")</f>
      </c>
      <c r="C24" s="63">
        <f>IF(D24&lt;&gt;"","S"&amp;TEXT(WEEKNUM(D24),"00"),"")</f>
      </c>
      <c r="D24" s="42">
        <f>IF(AND(Data!Q23&lt;&gt;"",Data!L23="Accept&amp;#233;"),Data!Q23,"")</f>
        <v>25569.041666666668</v>
      </c>
      <c r="E24" s="64">
        <f>IF(AND(Data!R23&lt;&gt;"",Data!L23="Accept&amp;#233;"),Data!R23,"")</f>
      </c>
      <c r="F24" s="65">
        <f>IF(AND(Data!R23&lt;&gt;"",Data!L23="Accept&amp;#233;"),Data!S23,"")</f>
      </c>
      <c r="G24" s="66">
        <f>IF(Data!R23='Delivery Plan'!E24,Data!U23,"")</f>
      </c>
      <c r="H24" s="53"/>
      <c r="I24" s="63">
        <f>IF(J24&lt;&gt;"","S"&amp;TEXT(WEEKNUM(J24),"00"),"")</f>
      </c>
      <c r="J24" s="42">
        <f>IF(AND(E24=Data!R23,Data!AA23&lt;&gt;""),Data!AA23,"")</f>
        <v>25569.041666666668</v>
      </c>
      <c r="K24" s="67">
        <f>IF(AND(E24=Data!R23,Data!AE23&lt;&gt;""),Data!AE23,"")</f>
        <v>25569.041666666668</v>
      </c>
      <c r="L24" s="68">
        <f>IF(E24=Data!R23,Data!AI23,"")</f>
      </c>
      <c r="M24" s="68">
        <f>IF(E24=Data!R23,Data!AJ23,"")</f>
      </c>
      <c r="N24" s="69">
        <f>IF(AND(Data!R23&lt;&gt;"",Data!L23="Accept&amp;#233;"),Data!K23,"")</f>
      </c>
    </row>
    <row x14ac:dyDescent="0.25" r="25" customHeight="1" ht="19.5" hidden="1">
      <c r="A25" s="62">
        <f>IF(AND(Data!R24&lt;&gt;"",Data!L24="Accept&amp;#233;"),Data!G24,"")</f>
      </c>
      <c r="B25" s="62">
        <f>IF(AND(Data!R24&lt;&gt;"",Data!L24="Accept&amp;#233;"),Data!L24,"")</f>
      </c>
      <c r="C25" s="63">
        <f>IF(D25&lt;&gt;"","S"&amp;TEXT(WEEKNUM(D25),"00"),"")</f>
      </c>
      <c r="D25" s="42">
        <f>IF(AND(Data!Q24&lt;&gt;"",Data!L24="Accept&amp;#233;"),Data!Q24,"")</f>
        <v>25569.041666666668</v>
      </c>
      <c r="E25" s="64">
        <f>IF(AND(Data!R24&lt;&gt;"",Data!L24="Accept&amp;#233;"),Data!R24,"")</f>
      </c>
      <c r="F25" s="65">
        <f>IF(AND(Data!R24&lt;&gt;"",Data!L24="Accept&amp;#233;"),Data!S24,"")</f>
      </c>
      <c r="G25" s="66">
        <f>IF(Data!R24='Delivery Plan'!E25,Data!U24,"")</f>
      </c>
      <c r="H25" s="53"/>
      <c r="I25" s="63">
        <f>IF(J25&lt;&gt;"","S"&amp;TEXT(WEEKNUM(J25),"00"),"")</f>
      </c>
      <c r="J25" s="42">
        <f>IF(AND(E25=Data!R24,Data!AA24&lt;&gt;""),Data!AA24,"")</f>
        <v>25569.041666666668</v>
      </c>
      <c r="K25" s="67">
        <f>IF(AND(E25=Data!R24,Data!AE24&lt;&gt;""),Data!AE24,"")</f>
        <v>25569.041666666668</v>
      </c>
      <c r="L25" s="68">
        <f>IF(E25=Data!R24,Data!AI24,"")</f>
      </c>
      <c r="M25" s="68">
        <f>IF(E25=Data!R24,Data!AJ24,"")</f>
      </c>
      <c r="N25" s="69">
        <f>IF(AND(Data!R24&lt;&gt;"",Data!L24="Accept&amp;#233;"),Data!K24,"")</f>
      </c>
    </row>
    <row x14ac:dyDescent="0.25" r="26" customHeight="1" ht="19.5" hidden="1">
      <c r="A26" s="62">
        <f>IF(AND(Data!R25&lt;&gt;"",Data!L25="Accept&amp;#233;"),Data!G25,"")</f>
      </c>
      <c r="B26" s="62">
        <f>IF(AND(Data!R25&lt;&gt;"",Data!L25="Accept&amp;#233;"),Data!L25,"")</f>
      </c>
      <c r="C26" s="63">
        <f>IF(D26&lt;&gt;"","S"&amp;TEXT(WEEKNUM(D26),"00"),"")</f>
      </c>
      <c r="D26" s="42">
        <f>IF(AND(Data!Q25&lt;&gt;"",Data!L25="Accept&amp;#233;"),Data!Q25,"")</f>
        <v>25569.041666666668</v>
      </c>
      <c r="E26" s="64">
        <f>IF(AND(Data!R25&lt;&gt;"",Data!L25="Accept&amp;#233;"),Data!R25,"")</f>
      </c>
      <c r="F26" s="65">
        <f>IF(AND(Data!R25&lt;&gt;"",Data!L25="Accept&amp;#233;"),Data!S25,"")</f>
      </c>
      <c r="G26" s="66">
        <f>IF(Data!R25='Delivery Plan'!E26,Data!U25,"")</f>
      </c>
      <c r="H26" s="53"/>
      <c r="I26" s="63">
        <f>IF(J26&lt;&gt;"","S"&amp;TEXT(WEEKNUM(J26),"00"),"")</f>
      </c>
      <c r="J26" s="42">
        <f>IF(AND(E26=Data!R25,Data!AA25&lt;&gt;""),Data!AA25,"")</f>
        <v>25569.041666666668</v>
      </c>
      <c r="K26" s="67">
        <f>IF(AND(E26=Data!R25,Data!AE25&lt;&gt;""),Data!AE25,"")</f>
        <v>25569.041666666668</v>
      </c>
      <c r="L26" s="68">
        <f>IF(E26=Data!R25,Data!AI25,"")</f>
      </c>
      <c r="M26" s="68">
        <f>IF(E26=Data!R25,Data!AJ25,"")</f>
      </c>
      <c r="N26" s="69">
        <f>IF(AND(Data!R25&lt;&gt;"",Data!L25="Accept&amp;#233;"),Data!K25,"")</f>
      </c>
    </row>
    <row x14ac:dyDescent="0.25" r="27" customHeight="1" ht="19.5" hidden="1">
      <c r="A27" s="62">
        <f>IF(AND(Data!R26&lt;&gt;"",Data!L26="Accept&amp;#233;"),Data!G26,"")</f>
      </c>
      <c r="B27" s="62">
        <f>IF(AND(Data!R26&lt;&gt;"",Data!L26="Accept&amp;#233;"),Data!L26,"")</f>
      </c>
      <c r="C27" s="63">
        <f>IF(D27&lt;&gt;"","S"&amp;TEXT(WEEKNUM(D27),"00"),"")</f>
      </c>
      <c r="D27" s="42">
        <f>IF(AND(Data!Q26&lt;&gt;"",Data!L26="Accept&amp;#233;"),Data!Q26,"")</f>
        <v>25569.041666666668</v>
      </c>
      <c r="E27" s="64">
        <f>IF(AND(Data!R26&lt;&gt;"",Data!L26="Accept&amp;#233;"),Data!R26,"")</f>
      </c>
      <c r="F27" s="65">
        <f>IF(AND(Data!R26&lt;&gt;"",Data!L26="Accept&amp;#233;"),Data!S26,"")</f>
      </c>
      <c r="G27" s="66">
        <f>IF(Data!R26='Delivery Plan'!E27,Data!U26,"")</f>
      </c>
      <c r="H27" s="53"/>
      <c r="I27" s="63">
        <f>IF(J27&lt;&gt;"","S"&amp;TEXT(WEEKNUM(J27),"00"),"")</f>
      </c>
      <c r="J27" s="42">
        <f>IF(AND(E27=Data!R26,Data!AA26&lt;&gt;""),Data!AA26,"")</f>
        <v>25569.041666666668</v>
      </c>
      <c r="K27" s="67">
        <f>IF(AND(E27=Data!R26,Data!AE26&lt;&gt;""),Data!AE26,"")</f>
        <v>25569.041666666668</v>
      </c>
      <c r="L27" s="68">
        <f>IF(E27=Data!R26,Data!AI26,"")</f>
      </c>
      <c r="M27" s="68">
        <f>IF(E27=Data!R26,Data!AJ26,"")</f>
      </c>
      <c r="N27" s="69">
        <f>IF(AND(Data!R26&lt;&gt;"",Data!L26="Accept&amp;#233;"),Data!K26,"")</f>
      </c>
    </row>
    <row x14ac:dyDescent="0.25" r="28" customHeight="1" ht="19.5" hidden="1">
      <c r="A28" s="62">
        <f>IF(AND(Data!R27&lt;&gt;"",Data!L27="Accept&amp;#233;"),Data!G27,"")</f>
      </c>
      <c r="B28" s="62">
        <f>IF(AND(Data!R27&lt;&gt;"",Data!L27="Accept&amp;#233;"),Data!L27,"")</f>
      </c>
      <c r="C28" s="63">
        <f>IF(D28&lt;&gt;"","S"&amp;TEXT(WEEKNUM(D28),"00"),"")</f>
      </c>
      <c r="D28" s="42">
        <f>IF(AND(Data!Q27&lt;&gt;"",Data!L27="Accept&amp;#233;"),Data!Q27,"")</f>
        <v>25569.041666666668</v>
      </c>
      <c r="E28" s="64">
        <f>IF(AND(Data!R27&lt;&gt;"",Data!L27="Accept&amp;#233;"),Data!R27,"")</f>
      </c>
      <c r="F28" s="65">
        <f>IF(AND(Data!R27&lt;&gt;"",Data!L27="Accept&amp;#233;"),Data!S27,"")</f>
      </c>
      <c r="G28" s="66">
        <f>IF(Data!R27='Delivery Plan'!E28,Data!U27,"")</f>
      </c>
      <c r="H28" s="53"/>
      <c r="I28" s="63">
        <f>IF(J28&lt;&gt;"","S"&amp;TEXT(WEEKNUM(J28),"00"),"")</f>
      </c>
      <c r="J28" s="42">
        <f>IF(AND(E28=Data!R27,Data!AA27&lt;&gt;""),Data!AA27,"")</f>
        <v>25569.041666666668</v>
      </c>
      <c r="K28" s="67">
        <f>IF(AND(E28=Data!R27,Data!AE27&lt;&gt;""),Data!AE27,"")</f>
        <v>25569.041666666668</v>
      </c>
      <c r="L28" s="68">
        <f>IF(E28=Data!R27,Data!AI27,"")</f>
      </c>
      <c r="M28" s="68">
        <f>IF(E28=Data!R27,Data!AJ27,"")</f>
      </c>
      <c r="N28" s="69">
        <f>IF(AND(Data!R27&lt;&gt;"",Data!L27="Accept&amp;#233;"),Data!K27,"")</f>
      </c>
    </row>
    <row x14ac:dyDescent="0.25" r="29" customHeight="1" ht="19.5" hidden="1">
      <c r="A29" s="62">
        <f>IF(AND(Data!R28&lt;&gt;"",Data!L28="Accept&amp;#233;"),Data!G28,"")</f>
      </c>
      <c r="B29" s="62">
        <f>IF(AND(Data!R28&lt;&gt;"",Data!L28="Accept&amp;#233;"),Data!L28,"")</f>
      </c>
      <c r="C29" s="63">
        <f>IF(D29&lt;&gt;"","S"&amp;TEXT(WEEKNUM(D29),"00"),"")</f>
      </c>
      <c r="D29" s="42">
        <f>IF(AND(Data!Q28&lt;&gt;"",Data!L28="Accept&amp;#233;"),Data!Q28,"")</f>
        <v>25569.041666666668</v>
      </c>
      <c r="E29" s="64">
        <f>IF(AND(Data!R28&lt;&gt;"",Data!L28="Accept&amp;#233;"),Data!R28,"")</f>
      </c>
      <c r="F29" s="65">
        <f>IF(AND(Data!R28&lt;&gt;"",Data!L28="Accept&amp;#233;"),Data!S28,"")</f>
      </c>
      <c r="G29" s="66">
        <f>IF(Data!R28='Delivery Plan'!E29,Data!U28,"")</f>
      </c>
      <c r="H29" s="53"/>
      <c r="I29" s="63">
        <f>IF(J29&lt;&gt;"","S"&amp;TEXT(WEEKNUM(J29),"00"),"")</f>
      </c>
      <c r="J29" s="42">
        <f>IF(AND(E29=Data!R28,Data!AA28&lt;&gt;""),Data!AA28,"")</f>
        <v>25569.041666666668</v>
      </c>
      <c r="K29" s="67">
        <f>IF(AND(E29=Data!R28,Data!AE28&lt;&gt;""),Data!AE28,"")</f>
        <v>25569.041666666668</v>
      </c>
      <c r="L29" s="68">
        <f>IF(E29=Data!R28,Data!AI28,"")</f>
      </c>
      <c r="M29" s="68">
        <f>IF(E29=Data!R28,Data!AJ28,"")</f>
      </c>
      <c r="N29" s="69">
        <f>IF(AND(Data!R28&lt;&gt;"",Data!L28="Accept&amp;#233;"),Data!K28,"")</f>
      </c>
    </row>
    <row x14ac:dyDescent="0.25" r="30" customHeight="1" ht="19.5" hidden="1">
      <c r="A30" s="62">
        <f>IF(AND(Data!R29&lt;&gt;"",Data!L29="Accept&amp;#233;"),Data!G29,"")</f>
      </c>
      <c r="B30" s="62">
        <f>IF(AND(Data!R29&lt;&gt;"",Data!L29="Accept&amp;#233;"),Data!L29,"")</f>
      </c>
      <c r="C30" s="63">
        <f>IF(D30&lt;&gt;"","S"&amp;TEXT(WEEKNUM(D30),"00"),"")</f>
      </c>
      <c r="D30" s="42">
        <f>IF(AND(Data!Q29&lt;&gt;"",Data!L29="Accept&amp;#233;"),Data!Q29,"")</f>
        <v>25569.041666666668</v>
      </c>
      <c r="E30" s="64">
        <f>IF(AND(Data!R29&lt;&gt;"",Data!L29="Accept&amp;#233;"),Data!R29,"")</f>
      </c>
      <c r="F30" s="65">
        <f>IF(AND(Data!R29&lt;&gt;"",Data!L29="Accept&amp;#233;"),Data!S29,"")</f>
      </c>
      <c r="G30" s="66">
        <f>IF(Data!R29='Delivery Plan'!E30,Data!U29,"")</f>
      </c>
      <c r="H30" s="53"/>
      <c r="I30" s="63">
        <f>IF(J30&lt;&gt;"","S"&amp;TEXT(WEEKNUM(J30),"00"),"")</f>
      </c>
      <c r="J30" s="42">
        <f>IF(AND(E30=Data!R29,Data!AA29&lt;&gt;""),Data!AA29,"")</f>
        <v>25569.041666666668</v>
      </c>
      <c r="K30" s="67">
        <f>IF(AND(E30=Data!R29,Data!AE29&lt;&gt;""),Data!AE29,"")</f>
        <v>25569.041666666668</v>
      </c>
      <c r="L30" s="68">
        <f>IF(E30=Data!R29,Data!AI29,"")</f>
      </c>
      <c r="M30" s="68">
        <f>IF(E30=Data!R29,Data!AJ29,"")</f>
      </c>
      <c r="N30" s="69">
        <f>IF(AND(Data!R29&lt;&gt;"",Data!L29="Accept&amp;#233;"),Data!K29,"")</f>
      </c>
    </row>
    <row x14ac:dyDescent="0.25" r="31" customHeight="1" ht="15">
      <c r="A31" s="62">
        <f>IF(AND(Data!R30&lt;&gt;"",Data!L30="Accept&amp;#233;"),Data!G30,"")</f>
      </c>
      <c r="B31" s="62">
        <f>IF(AND(Data!R30&lt;&gt;"",Data!L30="Accept&amp;#233;"),Data!L30,"")</f>
      </c>
      <c r="C31" s="63">
        <f>IF(D31&lt;&gt;"","S"&amp;TEXT(WEEKNUM(D31),"00"),"")</f>
      </c>
      <c r="D31" s="42">
        <f>IF(AND(Data!Q30&lt;&gt;"",Data!L30="Accept&amp;#233;"),Data!Q30,"")</f>
        <v>25569.041666666668</v>
      </c>
      <c r="E31" s="64">
        <f>IF(AND(Data!R30&lt;&gt;"",Data!L30="Accept&amp;#233;"),Data!R30,"")</f>
      </c>
      <c r="F31" s="65">
        <f>IF(AND(Data!R30&lt;&gt;"",Data!L30="Accept&amp;#233;"),Data!S30,"")</f>
      </c>
      <c r="G31" s="66">
        <f>IF(Data!R30='Delivery Plan'!E31,Data!U30,"")</f>
      </c>
      <c r="H31" s="53"/>
      <c r="I31" s="63">
        <f>IF(J31&lt;&gt;"","S"&amp;TEXT(WEEKNUM(J31),"00"),"")</f>
      </c>
      <c r="J31" s="42">
        <f>IF(AND(E31=Data!R30,Data!AA30&lt;&gt;""),Data!AA30,"")</f>
        <v>25569.041666666668</v>
      </c>
      <c r="K31" s="67">
        <f>IF(AND(E31=Data!R30,Data!AE30&lt;&gt;""),Data!AE30,"")</f>
        <v>25569.041666666668</v>
      </c>
      <c r="L31" s="68">
        <f>IF(E31=Data!R30,Data!AI30,"")</f>
      </c>
      <c r="M31" s="68">
        <f>IF(E31=Data!R30,Data!AJ30,"")</f>
      </c>
      <c r="N31" s="69">
        <f>IF(AND(Data!R30&lt;&gt;"",Data!L30="Accept&amp;#233;"),Data!K30,"")</f>
      </c>
    </row>
    <row x14ac:dyDescent="0.25" r="32" customHeight="1" ht="19.5" hidden="1">
      <c r="A32" s="62">
        <f>IF(AND(Data!R31&lt;&gt;"",Data!L31="Accept&amp;#233;"),Data!G31,"")</f>
      </c>
      <c r="B32" s="62">
        <f>IF(AND(Data!R31&lt;&gt;"",Data!L31="Accept&amp;#233;"),Data!L31,"")</f>
      </c>
      <c r="C32" s="63">
        <f>IF(D32&lt;&gt;"","S"&amp;TEXT(WEEKNUM(D32),"00"),"")</f>
      </c>
      <c r="D32" s="42">
        <f>IF(AND(Data!Q31&lt;&gt;"",Data!L31="Accept&amp;#233;"),Data!Q31,"")</f>
        <v>25569.041666666668</v>
      </c>
      <c r="E32" s="64">
        <f>IF(AND(Data!R31&lt;&gt;"",Data!L31="Accept&amp;#233;"),Data!R31,"")</f>
      </c>
      <c r="F32" s="65">
        <f>IF(AND(Data!R31&lt;&gt;"",Data!L31="Accept&amp;#233;"),Data!S31,"")</f>
      </c>
      <c r="G32" s="66">
        <f>IF(Data!R31='Delivery Plan'!E32,Data!U31,"")</f>
      </c>
      <c r="H32" s="53"/>
      <c r="I32" s="63">
        <f>IF(J32&lt;&gt;"","S"&amp;TEXT(WEEKNUM(J32),"00"),"")</f>
      </c>
      <c r="J32" s="42">
        <f>IF(AND(E32=Data!R31,Data!AA31&lt;&gt;""),Data!AA31,"")</f>
        <v>25569.041666666668</v>
      </c>
      <c r="K32" s="67">
        <f>IF(AND(E32=Data!R31,Data!AE31&lt;&gt;""),Data!AE31,"")</f>
        <v>25569.041666666668</v>
      </c>
      <c r="L32" s="68">
        <f>IF(E32=Data!R31,Data!AI31,"")</f>
      </c>
      <c r="M32" s="68">
        <f>IF(E32=Data!R31,Data!AJ31,"")</f>
      </c>
      <c r="N32" s="69">
        <f>IF(AND(Data!R31&lt;&gt;"",Data!L31="Accept&amp;#233;"),Data!K31,"")</f>
      </c>
    </row>
    <row x14ac:dyDescent="0.25" r="33" customHeight="1" ht="15">
      <c r="A33" s="62">
        <f>IF(AND(Data!R32&lt;&gt;"",Data!L32="Accept&amp;#233;"),Data!G32,"")</f>
      </c>
      <c r="B33" s="62">
        <f>IF(AND(Data!R32&lt;&gt;"",Data!L32="Accept&amp;#233;"),Data!L32,"")</f>
      </c>
      <c r="C33" s="63">
        <f>IF(D33&lt;&gt;"","S"&amp;TEXT(WEEKNUM(D33),"00"),"")</f>
      </c>
      <c r="D33" s="42">
        <f>IF(AND(Data!Q32&lt;&gt;"",Data!L32="Accept&amp;#233;"),Data!Q32,"")</f>
        <v>25569.041666666668</v>
      </c>
      <c r="E33" s="64">
        <f>IF(AND(Data!R32&lt;&gt;"",Data!L32="Accept&amp;#233;"),Data!R32,"")</f>
      </c>
      <c r="F33" s="65">
        <f>IF(AND(Data!R32&lt;&gt;"",Data!L32="Accept&amp;#233;"),Data!S32,"")</f>
      </c>
      <c r="G33" s="66">
        <f>IF(Data!R32='Delivery Plan'!E33,Data!U32,"")</f>
      </c>
      <c r="H33" s="53"/>
      <c r="I33" s="63">
        <f>IF(J33&lt;&gt;"","S"&amp;TEXT(WEEKNUM(J33),"00"),"")</f>
      </c>
      <c r="J33" s="42">
        <f>IF(AND(E33=Data!R32,Data!AA32&lt;&gt;""),Data!AA32,"")</f>
        <v>25569.041666666668</v>
      </c>
      <c r="K33" s="67">
        <f>IF(AND(E33=Data!R32,Data!AE32&lt;&gt;""),Data!AE32,"")</f>
        <v>25569.041666666668</v>
      </c>
      <c r="L33" s="68">
        <f>IF(E33=Data!R32,Data!AI32,"")</f>
      </c>
      <c r="M33" s="68">
        <f>IF(E33=Data!R32,Data!AJ32,"")</f>
      </c>
      <c r="N33" s="69">
        <f>IF(AND(Data!R32&lt;&gt;"",Data!L32="Accept&amp;#233;"),Data!K32,"")</f>
      </c>
    </row>
    <row x14ac:dyDescent="0.25" r="34" customHeight="1" ht="19.5" hidden="1">
      <c r="A34" s="62">
        <f>IF(AND(Data!R33&lt;&gt;"",Data!L33="Accept&amp;#233;"),Data!G33,"")</f>
      </c>
      <c r="B34" s="62">
        <f>IF(AND(Data!R33&lt;&gt;"",Data!L33="Accept&amp;#233;"),Data!L33,"")</f>
      </c>
      <c r="C34" s="63">
        <f>IF(D34&lt;&gt;"","S"&amp;TEXT(WEEKNUM(D34),"00"),"")</f>
      </c>
      <c r="D34" s="42">
        <f>IF(AND(Data!Q33&lt;&gt;"",Data!L33="Accept&amp;#233;"),Data!Q33,"")</f>
        <v>25569.041666666668</v>
      </c>
      <c r="E34" s="64">
        <f>IF(AND(Data!R33&lt;&gt;"",Data!L33="Accept&amp;#233;"),Data!R33,"")</f>
      </c>
      <c r="F34" s="65">
        <f>IF(AND(Data!R33&lt;&gt;"",Data!L33="Accept&amp;#233;"),Data!S33,"")</f>
      </c>
      <c r="G34" s="66">
        <f>IF(Data!R33='Delivery Plan'!E34,Data!U33,"")</f>
      </c>
      <c r="H34" s="53"/>
      <c r="I34" s="63">
        <f>IF(J34&lt;&gt;"","S"&amp;TEXT(WEEKNUM(J34),"00"),"")</f>
      </c>
      <c r="J34" s="42">
        <f>IF(AND(E34=Data!R33,Data!AA33&lt;&gt;""),Data!AA33,"")</f>
        <v>25569.041666666668</v>
      </c>
      <c r="K34" s="67">
        <f>IF(AND(E34=Data!R33,Data!AE33&lt;&gt;""),Data!AE33,"")</f>
        <v>25569.041666666668</v>
      </c>
      <c r="L34" s="68">
        <f>IF(E34=Data!R33,Data!AI33,"")</f>
      </c>
      <c r="M34" s="68">
        <f>IF(E34=Data!R33,Data!AJ33,"")</f>
      </c>
      <c r="N34" s="69">
        <f>IF(AND(Data!R33&lt;&gt;"",Data!L33="Accept&amp;#233;"),Data!K33,"")</f>
      </c>
    </row>
    <row x14ac:dyDescent="0.25" r="35" customHeight="1" ht="19.5" hidden="1">
      <c r="A35" s="62">
        <f>IF(AND(Data!R34&lt;&gt;"",Data!L34="Accept&amp;#233;"),Data!G34,"")</f>
      </c>
      <c r="B35" s="62">
        <f>IF(AND(Data!R34&lt;&gt;"",Data!L34="Accept&amp;#233;"),Data!L34,"")</f>
      </c>
      <c r="C35" s="63">
        <f>IF(D35&lt;&gt;"","S"&amp;TEXT(WEEKNUM(D35),"00"),"")</f>
      </c>
      <c r="D35" s="42">
        <f>IF(AND(Data!Q34&lt;&gt;"",Data!L34="Accept&amp;#233;"),Data!Q34,"")</f>
        <v>25569.041666666668</v>
      </c>
      <c r="E35" s="64">
        <f>IF(AND(Data!R34&lt;&gt;"",Data!L34="Accept&amp;#233;"),Data!R34,"")</f>
      </c>
      <c r="F35" s="65">
        <f>IF(AND(Data!R34&lt;&gt;"",Data!L34="Accept&amp;#233;"),Data!S34,"")</f>
      </c>
      <c r="G35" s="66">
        <f>IF(Data!R34='Delivery Plan'!E35,Data!U34,"")</f>
      </c>
      <c r="H35" s="53"/>
      <c r="I35" s="63">
        <f>IF(J35&lt;&gt;"","S"&amp;TEXT(WEEKNUM(J35),"00"),"")</f>
      </c>
      <c r="J35" s="42">
        <f>IF(AND(E35=Data!R34,Data!AA34&lt;&gt;""),Data!AA34,"")</f>
        <v>25569.041666666668</v>
      </c>
      <c r="K35" s="67">
        <f>IF(AND(E35=Data!R34,Data!AE34&lt;&gt;""),Data!AE34,"")</f>
        <v>25569.041666666668</v>
      </c>
      <c r="L35" s="68">
        <f>IF(E35=Data!R34,Data!AI34,"")</f>
      </c>
      <c r="M35" s="68">
        <f>IF(E35=Data!R34,Data!AJ34,"")</f>
      </c>
      <c r="N35" s="69">
        <f>IF(AND(Data!R34&lt;&gt;"",Data!L34="Accept&amp;#233;"),Data!K34,"")</f>
      </c>
    </row>
    <row x14ac:dyDescent="0.25" r="36" customHeight="1" ht="19.5" hidden="1">
      <c r="A36" s="62">
        <f>IF(AND(Data!R35&lt;&gt;"",Data!L35="Accept&amp;#233;"),Data!G35,"")</f>
      </c>
      <c r="B36" s="62">
        <f>IF(AND(Data!R35&lt;&gt;"",Data!L35="Accept&amp;#233;"),Data!L35,"")</f>
      </c>
      <c r="C36" s="63">
        <f>IF(D36&lt;&gt;"","S"&amp;TEXT(WEEKNUM(D36),"00"),"")</f>
      </c>
      <c r="D36" s="42">
        <f>IF(AND(Data!Q35&lt;&gt;"",Data!L35="Accept&amp;#233;"),Data!Q35,"")</f>
        <v>25569.041666666668</v>
      </c>
      <c r="E36" s="64">
        <f>IF(AND(Data!R35&lt;&gt;"",Data!L35="Accept&amp;#233;"),Data!R35,"")</f>
      </c>
      <c r="F36" s="65">
        <f>IF(AND(Data!R35&lt;&gt;"",Data!L35="Accept&amp;#233;"),Data!S35,"")</f>
      </c>
      <c r="G36" s="66">
        <f>IF(Data!R35='Delivery Plan'!E36,Data!U35,"")</f>
      </c>
      <c r="H36" s="53"/>
      <c r="I36" s="63">
        <f>IF(J36&lt;&gt;"","S"&amp;TEXT(WEEKNUM(J36),"00"),"")</f>
      </c>
      <c r="J36" s="42">
        <f>IF(AND(E36=Data!R35,Data!AA35&lt;&gt;""),Data!AA35,"")</f>
        <v>25569.041666666668</v>
      </c>
      <c r="K36" s="67">
        <f>IF(AND(E36=Data!R35,Data!AE35&lt;&gt;""),Data!AE35,"")</f>
        <v>25569.041666666668</v>
      </c>
      <c r="L36" s="68">
        <f>IF(E36=Data!R35,Data!AI35,"")</f>
      </c>
      <c r="M36" s="68">
        <f>IF(E36=Data!R35,Data!AJ35,"")</f>
      </c>
      <c r="N36" s="69">
        <f>IF(AND(Data!R35&lt;&gt;"",Data!L35="Accept&amp;#233;"),Data!K35,"")</f>
      </c>
    </row>
    <row x14ac:dyDescent="0.25" r="37" customHeight="1" ht="19.5" hidden="1">
      <c r="A37" s="62">
        <f>IF(AND(Data!R36&lt;&gt;"",Data!L36="Accept&amp;#233;"),Data!G36,"")</f>
      </c>
      <c r="B37" s="62">
        <f>IF(AND(Data!R36&lt;&gt;"",Data!L36="Accept&amp;#233;"),Data!L36,"")</f>
      </c>
      <c r="C37" s="63">
        <f>IF(D37&lt;&gt;"","S"&amp;TEXT(WEEKNUM(D37),"00"),"")</f>
      </c>
      <c r="D37" s="42">
        <f>IF(AND(Data!Q36&lt;&gt;"",Data!L36="Accept&amp;#233;"),Data!Q36,"")</f>
        <v>25569.041666666668</v>
      </c>
      <c r="E37" s="64">
        <f>IF(AND(Data!R36&lt;&gt;"",Data!L36="Accept&amp;#233;"),Data!R36,"")</f>
      </c>
      <c r="F37" s="65">
        <f>IF(AND(Data!R36&lt;&gt;"",Data!L36="Accept&amp;#233;"),Data!S36,"")</f>
      </c>
      <c r="G37" s="66">
        <f>IF(Data!R36='Delivery Plan'!E37,Data!U36,"")</f>
      </c>
      <c r="H37" s="53"/>
      <c r="I37" s="63">
        <f>IF(J37&lt;&gt;"","S"&amp;TEXT(WEEKNUM(J37),"00"),"")</f>
      </c>
      <c r="J37" s="42">
        <f>IF(AND(E37=Data!R36,Data!AA36&lt;&gt;""),Data!AA36,"")</f>
        <v>25569.041666666668</v>
      </c>
      <c r="K37" s="67">
        <f>IF(AND(E37=Data!R36,Data!AE36&lt;&gt;""),Data!AE36,"")</f>
        <v>25569.041666666668</v>
      </c>
      <c r="L37" s="68">
        <f>IF(E37=Data!R36,Data!AI36,"")</f>
      </c>
      <c r="M37" s="68">
        <f>IF(E37=Data!R36,Data!AJ36,"")</f>
      </c>
      <c r="N37" s="69">
        <f>IF(AND(Data!R36&lt;&gt;"",Data!L36="Accept&amp;#233;"),Data!K36,"")</f>
      </c>
    </row>
    <row x14ac:dyDescent="0.25" r="38" customHeight="1" ht="19.5" hidden="1">
      <c r="A38" s="62">
        <f>IF(AND(Data!R37&lt;&gt;"",Data!L37="Accept&amp;#233;"),Data!G37,"")</f>
      </c>
      <c r="B38" s="62">
        <f>IF(AND(Data!R37&lt;&gt;"",Data!L37="Accept&amp;#233;"),Data!L37,"")</f>
      </c>
      <c r="C38" s="63">
        <f>IF(D38&lt;&gt;"","S"&amp;TEXT(WEEKNUM(D38),"00"),"")</f>
      </c>
      <c r="D38" s="42">
        <f>IF(AND(Data!Q37&lt;&gt;"",Data!L37="Accept&amp;#233;"),Data!Q37,"")</f>
        <v>25569.041666666668</v>
      </c>
      <c r="E38" s="64">
        <f>IF(AND(Data!R37&lt;&gt;"",Data!L37="Accept&amp;#233;"),Data!R37,"")</f>
      </c>
      <c r="F38" s="65">
        <f>IF(AND(Data!R37&lt;&gt;"",Data!L37="Accept&amp;#233;"),Data!S37,"")</f>
      </c>
      <c r="G38" s="66">
        <f>IF(Data!R37='Delivery Plan'!E38,Data!U37,"")</f>
      </c>
      <c r="H38" s="53"/>
      <c r="I38" s="63">
        <f>IF(J38&lt;&gt;"","S"&amp;TEXT(WEEKNUM(J38),"00"),"")</f>
      </c>
      <c r="J38" s="42">
        <f>IF(AND(E38=Data!R37,Data!AA37&lt;&gt;""),Data!AA37,"")</f>
        <v>25569.041666666668</v>
      </c>
      <c r="K38" s="67">
        <f>IF(AND(E38=Data!R37,Data!AE37&lt;&gt;""),Data!AE37,"")</f>
        <v>25569.041666666668</v>
      </c>
      <c r="L38" s="68">
        <f>IF(E38=Data!R37,Data!AI37,"")</f>
      </c>
      <c r="M38" s="68">
        <f>IF(E38=Data!R37,Data!AJ37,"")</f>
      </c>
      <c r="N38" s="69">
        <f>IF(AND(Data!R37&lt;&gt;"",Data!L37="Accept&amp;#233;"),Data!K37,"")</f>
      </c>
    </row>
    <row x14ac:dyDescent="0.25" r="39" customHeight="1" ht="19.5" hidden="1">
      <c r="A39" s="62">
        <f>IF(AND(Data!R38&lt;&gt;"",Data!L38="Accept&amp;#233;"),Data!G38,"")</f>
      </c>
      <c r="B39" s="62">
        <f>IF(AND(Data!R38&lt;&gt;"",Data!L38="Accept&amp;#233;"),Data!L38,"")</f>
      </c>
      <c r="C39" s="63">
        <f>IF(D39&lt;&gt;"","S"&amp;TEXT(WEEKNUM(D39),"00"),"")</f>
      </c>
      <c r="D39" s="42">
        <f>IF(AND(Data!Q38&lt;&gt;"",Data!L38="Accept&amp;#233;"),Data!Q38,"")</f>
        <v>25569.041666666668</v>
      </c>
      <c r="E39" s="64">
        <f>IF(AND(Data!R38&lt;&gt;"",Data!L38="Accept&amp;#233;"),Data!R38,"")</f>
      </c>
      <c r="F39" s="65">
        <f>IF(AND(Data!R38&lt;&gt;"",Data!L38="Accept&amp;#233;"),Data!S38,"")</f>
      </c>
      <c r="G39" s="66">
        <f>IF(Data!R38='Delivery Plan'!E39,Data!U38,"")</f>
      </c>
      <c r="H39" s="53"/>
      <c r="I39" s="63">
        <f>IF(J39&lt;&gt;"","S"&amp;TEXT(WEEKNUM(J39),"00"),"")</f>
      </c>
      <c r="J39" s="42">
        <f>IF(AND(E39=Data!R38,Data!AA38&lt;&gt;""),Data!AA38,"")</f>
        <v>25569.041666666668</v>
      </c>
      <c r="K39" s="67">
        <f>IF(AND(E39=Data!R38,Data!AE38&lt;&gt;""),Data!AE38,"")</f>
        <v>25569.041666666668</v>
      </c>
      <c r="L39" s="68">
        <f>IF(E39=Data!R38,Data!AI38,"")</f>
      </c>
      <c r="M39" s="68">
        <f>IF(E39=Data!R38,Data!AJ38,"")</f>
      </c>
      <c r="N39" s="69">
        <f>IF(AND(Data!R38&lt;&gt;"",Data!L38="Accept&amp;#233;"),Data!K38,"")</f>
      </c>
    </row>
    <row x14ac:dyDescent="0.25" r="40" customHeight="1" ht="19.5" hidden="1">
      <c r="A40" s="62">
        <f>IF(AND(Data!R39&lt;&gt;"",Data!L39="Accept&amp;#233;"),Data!G39,"")</f>
      </c>
      <c r="B40" s="62">
        <f>IF(AND(Data!R39&lt;&gt;"",Data!L39="Accept&amp;#233;"),Data!L39,"")</f>
      </c>
      <c r="C40" s="63">
        <f>IF(D40&lt;&gt;"","S"&amp;TEXT(WEEKNUM(D40),"00"),"")</f>
      </c>
      <c r="D40" s="42">
        <f>IF(AND(Data!Q39&lt;&gt;"",Data!L39="Accept&amp;#233;"),Data!Q39,"")</f>
        <v>25569.041666666668</v>
      </c>
      <c r="E40" s="64">
        <f>IF(AND(Data!R39&lt;&gt;"",Data!L39="Accept&amp;#233;"),Data!R39,"")</f>
      </c>
      <c r="F40" s="65">
        <f>IF(AND(Data!R39&lt;&gt;"",Data!L39="Accept&amp;#233;"),Data!S39,"")</f>
      </c>
      <c r="G40" s="66">
        <f>IF(Data!R39='Delivery Plan'!E40,Data!U39,"")</f>
      </c>
      <c r="H40" s="53"/>
      <c r="I40" s="63">
        <f>IF(J40&lt;&gt;"","S"&amp;TEXT(WEEKNUM(J40),"00"),"")</f>
      </c>
      <c r="J40" s="42">
        <f>IF(AND(E40=Data!R39,Data!AA39&lt;&gt;""),Data!AA39,"")</f>
        <v>25569.041666666668</v>
      </c>
      <c r="K40" s="67">
        <f>IF(AND(E40=Data!R39,Data!AE39&lt;&gt;""),Data!AE39,"")</f>
        <v>25569.041666666668</v>
      </c>
      <c r="L40" s="68">
        <f>IF(E40=Data!R39,Data!AI39,"")</f>
      </c>
      <c r="M40" s="68">
        <f>IF(E40=Data!R39,Data!AJ39,"")</f>
      </c>
      <c r="N40" s="69">
        <f>IF(AND(Data!R39&lt;&gt;"",Data!L39="Accept&amp;#233;"),Data!K39,"")</f>
      </c>
    </row>
    <row x14ac:dyDescent="0.25" r="41" customHeight="1" ht="19.5" hidden="1">
      <c r="A41" s="62">
        <f>IF(AND(Data!R40&lt;&gt;"",Data!L40="Accept&amp;#233;"),Data!G40,"")</f>
      </c>
      <c r="B41" s="62">
        <f>IF(AND(Data!R40&lt;&gt;"",Data!L40="Accept&amp;#233;"),Data!L40,"")</f>
      </c>
      <c r="C41" s="63">
        <f>IF(D41&lt;&gt;"","S"&amp;TEXT(WEEKNUM(D41),"00"),"")</f>
      </c>
      <c r="D41" s="42">
        <f>IF(AND(Data!Q40&lt;&gt;"",Data!L40="Accept&amp;#233;"),Data!Q40,"")</f>
        <v>25569.041666666668</v>
      </c>
      <c r="E41" s="64">
        <f>IF(AND(Data!R40&lt;&gt;"",Data!L40="Accept&amp;#233;"),Data!R40,"")</f>
      </c>
      <c r="F41" s="65">
        <f>IF(AND(Data!R40&lt;&gt;"",Data!L40="Accept&amp;#233;"),Data!S40,"")</f>
      </c>
      <c r="G41" s="66">
        <f>IF(Data!R40='Delivery Plan'!E41,Data!U40,"")</f>
      </c>
      <c r="H41" s="53"/>
      <c r="I41" s="63">
        <f>IF(J41&lt;&gt;"","S"&amp;TEXT(WEEKNUM(J41),"00"),"")</f>
      </c>
      <c r="J41" s="42">
        <f>IF(AND(E41=Data!R40,Data!AA40&lt;&gt;""),Data!AA40,"")</f>
        <v>25569.041666666668</v>
      </c>
      <c r="K41" s="67">
        <f>IF(AND(E41=Data!R40,Data!AE40&lt;&gt;""),Data!AE40,"")</f>
        <v>25569.041666666668</v>
      </c>
      <c r="L41" s="68">
        <f>IF(E41=Data!R40,Data!AI40,"")</f>
      </c>
      <c r="M41" s="68">
        <f>IF(E41=Data!R40,Data!AJ40,"")</f>
      </c>
      <c r="N41" s="69">
        <f>IF(AND(Data!R40&lt;&gt;"",Data!L40="Accept&amp;#233;"),Data!K40,"")</f>
      </c>
    </row>
    <row x14ac:dyDescent="0.25" r="42" customHeight="1" ht="19.5" hidden="1">
      <c r="A42" s="62">
        <f>IF(AND(Data!R41&lt;&gt;"",Data!L41="Accept&amp;#233;"),Data!G41,"")</f>
      </c>
      <c r="B42" s="62">
        <f>IF(AND(Data!R41&lt;&gt;"",Data!L41="Accept&amp;#233;"),Data!L41,"")</f>
      </c>
      <c r="C42" s="63">
        <f>IF(D42&lt;&gt;"","S"&amp;TEXT(WEEKNUM(D42),"00"),"")</f>
      </c>
      <c r="D42" s="42">
        <f>IF(AND(Data!Q41&lt;&gt;"",Data!L41="Accept&amp;#233;"),Data!Q41,"")</f>
        <v>25569.041666666668</v>
      </c>
      <c r="E42" s="64">
        <f>IF(AND(Data!R41&lt;&gt;"",Data!L41="Accept&amp;#233;"),Data!R41,"")</f>
      </c>
      <c r="F42" s="65">
        <f>IF(AND(Data!R41&lt;&gt;"",Data!L41="Accept&amp;#233;"),Data!S41,"")</f>
      </c>
      <c r="G42" s="66">
        <f>IF(Data!R41='Delivery Plan'!E42,Data!U41,"")</f>
      </c>
      <c r="H42" s="53"/>
      <c r="I42" s="63">
        <f>IF(J42&lt;&gt;"","S"&amp;TEXT(WEEKNUM(J42),"00"),"")</f>
      </c>
      <c r="J42" s="42">
        <f>IF(AND(E42=Data!R41,Data!AA41&lt;&gt;""),Data!AA41,"")</f>
        <v>25569.041666666668</v>
      </c>
      <c r="K42" s="67">
        <f>IF(AND(E42=Data!R41,Data!AE41&lt;&gt;""),Data!AE41,"")</f>
        <v>25569.041666666668</v>
      </c>
      <c r="L42" s="68">
        <f>IF(E42=Data!R41,Data!AI41,"")</f>
      </c>
      <c r="M42" s="68">
        <f>IF(E42=Data!R41,Data!AJ41,"")</f>
      </c>
      <c r="N42" s="69">
        <f>IF(AND(Data!R41&lt;&gt;"",Data!L41="Accept&amp;#233;"),Data!K41,"")</f>
      </c>
    </row>
    <row x14ac:dyDescent="0.25" r="43" customHeight="1" ht="19.5" hidden="1">
      <c r="A43" s="62">
        <f>IF(AND(Data!R42&lt;&gt;"",Data!L42="Accept&amp;#233;"),Data!G42,"")</f>
      </c>
      <c r="B43" s="62">
        <f>IF(AND(Data!R42&lt;&gt;"",Data!L42="Accept&amp;#233;"),Data!L42,"")</f>
      </c>
      <c r="C43" s="63">
        <f>IF(D43&lt;&gt;"","S"&amp;TEXT(WEEKNUM(D43),"00"),"")</f>
      </c>
      <c r="D43" s="42">
        <f>IF(AND(Data!Q42&lt;&gt;"",Data!L42="Accept&amp;#233;"),Data!Q42,"")</f>
        <v>25569.041666666668</v>
      </c>
      <c r="E43" s="64">
        <f>IF(AND(Data!R42&lt;&gt;"",Data!L42="Accept&amp;#233;"),Data!R42,"")</f>
      </c>
      <c r="F43" s="65">
        <f>IF(AND(Data!R42&lt;&gt;"",Data!L42="Accept&amp;#233;"),Data!S42,"")</f>
      </c>
      <c r="G43" s="66">
        <f>IF(Data!R42='Delivery Plan'!E43,Data!U42,"")</f>
      </c>
      <c r="H43" s="53"/>
      <c r="I43" s="63">
        <f>IF(J43&lt;&gt;"","S"&amp;TEXT(WEEKNUM(J43),"00"),"")</f>
      </c>
      <c r="J43" s="42">
        <f>IF(AND(E43=Data!R42,Data!AA42&lt;&gt;""),Data!AA42,"")</f>
        <v>25569.041666666668</v>
      </c>
      <c r="K43" s="67">
        <f>IF(AND(E43=Data!R42,Data!AE42&lt;&gt;""),Data!AE42,"")</f>
        <v>25569.041666666668</v>
      </c>
      <c r="L43" s="68">
        <f>IF(E43=Data!R42,Data!AI42,"")</f>
      </c>
      <c r="M43" s="68">
        <f>IF(E43=Data!R42,Data!AJ42,"")</f>
      </c>
      <c r="N43" s="69">
        <f>IF(AND(Data!R42&lt;&gt;"",Data!L42="Accept&amp;#233;"),Data!K42,"")</f>
      </c>
    </row>
    <row x14ac:dyDescent="0.25" r="44" customHeight="1" ht="19.5" hidden="1">
      <c r="A44" s="62">
        <f>IF(AND(Data!R43&lt;&gt;"",Data!L43="Accept&amp;#233;"),Data!G43,"")</f>
      </c>
      <c r="B44" s="62">
        <f>IF(AND(Data!R43&lt;&gt;"",Data!L43="Accept&amp;#233;"),Data!L43,"")</f>
      </c>
      <c r="C44" s="63">
        <f>IF(D44&lt;&gt;"","S"&amp;TEXT(WEEKNUM(D44),"00"),"")</f>
      </c>
      <c r="D44" s="42">
        <f>IF(AND(Data!Q43&lt;&gt;"",Data!L43="Accept&amp;#233;"),Data!Q43,"")</f>
        <v>25569.041666666668</v>
      </c>
      <c r="E44" s="64">
        <f>IF(AND(Data!R43&lt;&gt;"",Data!L43="Accept&amp;#233;"),Data!R43,"")</f>
      </c>
      <c r="F44" s="65">
        <f>IF(AND(Data!R43&lt;&gt;"",Data!L43="Accept&amp;#233;"),Data!S43,"")</f>
      </c>
      <c r="G44" s="66">
        <f>IF(Data!R43='Delivery Plan'!E44,Data!U43,"")</f>
      </c>
      <c r="H44" s="53"/>
      <c r="I44" s="63">
        <f>IF(J44&lt;&gt;"","S"&amp;TEXT(WEEKNUM(J44),"00"),"")</f>
      </c>
      <c r="J44" s="42">
        <f>IF(AND(E44=Data!R43,Data!AA43&lt;&gt;""),Data!AA43,"")</f>
        <v>25569.041666666668</v>
      </c>
      <c r="K44" s="67">
        <f>IF(AND(E44=Data!R43,Data!AE43&lt;&gt;""),Data!AE43,"")</f>
        <v>25569.041666666668</v>
      </c>
      <c r="L44" s="68">
        <f>IF(E44=Data!R43,Data!AI43,"")</f>
      </c>
      <c r="M44" s="68">
        <f>IF(E44=Data!R43,Data!AJ43,"")</f>
      </c>
      <c r="N44" s="69">
        <f>IF(AND(Data!R43&lt;&gt;"",Data!L43="Accept&amp;#233;"),Data!K43,"")</f>
      </c>
    </row>
    <row x14ac:dyDescent="0.25" r="45" customHeight="1" ht="19.5">
      <c r="A45" s="62">
        <f>IF(AND(Data!R44&lt;&gt;"",Data!L44="Accept&amp;#233;"),Data!G44,"")</f>
      </c>
      <c r="B45" s="62">
        <f>IF(AND(Data!R44&lt;&gt;"",Data!L44="Accept&amp;#233;"),Data!L44,"")</f>
      </c>
      <c r="C45" s="63">
        <f>IF(D45&lt;&gt;"","S"&amp;TEXT(WEEKNUM(D45),"00"),"")</f>
      </c>
      <c r="D45" s="42">
        <f>IF(AND(Data!Q44&lt;&gt;"",Data!L44="Accept&amp;#233;"),Data!Q44,"")</f>
        <v>25569.041666666668</v>
      </c>
      <c r="E45" s="64">
        <f>IF(AND(Data!R44&lt;&gt;"",Data!L44="Accept&amp;#233;"),Data!R44,"")</f>
      </c>
      <c r="F45" s="65">
        <f>IF(AND(Data!R44&lt;&gt;"",Data!L44="Accept&amp;#233;"),Data!S44,"")</f>
      </c>
      <c r="G45" s="66">
        <f>IF(Data!R44='Delivery Plan'!E45,Data!U44,"")</f>
      </c>
      <c r="H45" s="53"/>
      <c r="I45" s="63">
        <f>IF(J45&lt;&gt;"","S"&amp;TEXT(WEEKNUM(J45),"00"),"")</f>
      </c>
      <c r="J45" s="42">
        <f>IF(AND(E45=Data!R44,Data!AA44&lt;&gt;""),Data!AA44,"")</f>
        <v>25569.041666666668</v>
      </c>
      <c r="K45" s="67">
        <f>IF(AND(E45=Data!R44,Data!AE44&lt;&gt;""),Data!AE44,"")</f>
        <v>25569.041666666668</v>
      </c>
      <c r="L45" s="68">
        <f>IF(E45=Data!R44,Data!AI44,"")</f>
      </c>
      <c r="M45" s="68">
        <f>IF(E45=Data!R44,Data!AJ44,"")</f>
      </c>
      <c r="N45" s="69">
        <f>IF(AND(Data!R44&lt;&gt;"",Data!L44="Accept&amp;#233;"),Data!K44,"")</f>
      </c>
    </row>
    <row x14ac:dyDescent="0.25" r="46" customHeight="1" ht="19.5" hidden="1">
      <c r="A46" s="62">
        <f>IF(AND(Data!R45&lt;&gt;"",Data!L45="Accept&amp;#233;"),Data!G45,"")</f>
      </c>
      <c r="B46" s="62">
        <f>IF(AND(Data!R45&lt;&gt;"",Data!L45="Accept&amp;#233;"),Data!L45,"")</f>
      </c>
      <c r="C46" s="63">
        <f>IF(D46&lt;&gt;"","S"&amp;TEXT(WEEKNUM(D46),"00"),"")</f>
      </c>
      <c r="D46" s="42">
        <f>IF(AND(Data!Q45&lt;&gt;"",Data!L45="Accept&amp;#233;"),Data!Q45,"")</f>
        <v>25569.041666666668</v>
      </c>
      <c r="E46" s="64">
        <f>IF(AND(Data!R45&lt;&gt;"",Data!L45="Accept&amp;#233;"),Data!R45,"")</f>
      </c>
      <c r="F46" s="65">
        <f>IF(AND(Data!R45&lt;&gt;"",Data!L45="Accept&amp;#233;"),Data!S45,"")</f>
      </c>
      <c r="G46" s="66">
        <f>IF(Data!R45='Delivery Plan'!E46,Data!U45,"")</f>
      </c>
      <c r="H46" s="53"/>
      <c r="I46" s="63">
        <f>IF(J46&lt;&gt;"","S"&amp;TEXT(WEEKNUM(J46),"00"),"")</f>
      </c>
      <c r="J46" s="42">
        <f>IF(AND(E46=Data!R45,Data!AA45&lt;&gt;""),Data!AA45,"")</f>
        <v>25569.041666666668</v>
      </c>
      <c r="K46" s="67">
        <f>IF(AND(E46=Data!R45,Data!AE45&lt;&gt;""),Data!AE45,"")</f>
        <v>25569.041666666668</v>
      </c>
      <c r="L46" s="68">
        <f>IF(E46=Data!R45,Data!AI45,"")</f>
      </c>
      <c r="M46" s="68">
        <f>IF(E46=Data!R45,Data!AJ45,"")</f>
      </c>
      <c r="N46" s="69">
        <f>IF(AND(Data!R45&lt;&gt;"",Data!L45="Accept&amp;#233;"),Data!K45,"")</f>
      </c>
    </row>
    <row x14ac:dyDescent="0.25" r="47" customHeight="1" ht="19.5" hidden="1">
      <c r="A47" s="62">
        <f>IF(AND(Data!R46&lt;&gt;"",Data!L46="Accept&amp;#233;"),Data!G46,"")</f>
      </c>
      <c r="B47" s="62">
        <f>IF(AND(Data!R46&lt;&gt;"",Data!L46="Accept&amp;#233;"),Data!L46,"")</f>
      </c>
      <c r="C47" s="63">
        <f>IF(D47&lt;&gt;"","S"&amp;TEXT(WEEKNUM(D47),"00"),"")</f>
      </c>
      <c r="D47" s="42">
        <f>IF(AND(Data!Q46&lt;&gt;"",Data!L46="Accept&amp;#233;"),Data!Q46,"")</f>
        <v>25569.041666666668</v>
      </c>
      <c r="E47" s="64">
        <f>IF(AND(Data!R46&lt;&gt;"",Data!L46="Accept&amp;#233;"),Data!R46,"")</f>
      </c>
      <c r="F47" s="65">
        <f>IF(AND(Data!R46&lt;&gt;"",Data!L46="Accept&amp;#233;"),Data!S46,"")</f>
      </c>
      <c r="G47" s="66">
        <f>IF(Data!R46='Delivery Plan'!E47,Data!U46,"")</f>
      </c>
      <c r="H47" s="53"/>
      <c r="I47" s="63">
        <f>IF(J47&lt;&gt;"","S"&amp;TEXT(WEEKNUM(J47),"00"),"")</f>
      </c>
      <c r="J47" s="42">
        <f>IF(AND(E47=Data!R46,Data!AA46&lt;&gt;""),Data!AA46,"")</f>
        <v>25569.041666666668</v>
      </c>
      <c r="K47" s="67">
        <f>IF(AND(E47=Data!R46,Data!AE46&lt;&gt;""),Data!AE46,"")</f>
        <v>25569.041666666668</v>
      </c>
      <c r="L47" s="68">
        <f>IF(E47=Data!R46,Data!AI46,"")</f>
      </c>
      <c r="M47" s="68">
        <f>IF(E47=Data!R46,Data!AJ46,"")</f>
      </c>
      <c r="N47" s="69">
        <f>IF(AND(Data!R46&lt;&gt;"",Data!L46="Accept&amp;#233;"),Data!K46,"")</f>
      </c>
    </row>
    <row x14ac:dyDescent="0.25" r="48" customHeight="1" ht="19.5" hidden="1">
      <c r="A48" s="62">
        <f>IF(AND(Data!R47&lt;&gt;"",Data!L47="Accept&amp;#233;"),Data!G47,"")</f>
      </c>
      <c r="B48" s="62">
        <f>IF(AND(Data!R47&lt;&gt;"",Data!L47="Accept&amp;#233;"),Data!L47,"")</f>
      </c>
      <c r="C48" s="63">
        <f>IF(D48&lt;&gt;"","S"&amp;TEXT(WEEKNUM(D48),"00"),"")</f>
      </c>
      <c r="D48" s="42">
        <f>IF(AND(Data!Q47&lt;&gt;"",Data!L47="Accept&amp;#233;"),Data!Q47,"")</f>
        <v>25569.041666666668</v>
      </c>
      <c r="E48" s="64">
        <f>IF(AND(Data!R47&lt;&gt;"",Data!L47="Accept&amp;#233;"),Data!R47,"")</f>
      </c>
      <c r="F48" s="65">
        <f>IF(AND(Data!R47&lt;&gt;"",Data!L47="Accept&amp;#233;"),Data!S47,"")</f>
      </c>
      <c r="G48" s="66">
        <f>IF(Data!R47='Delivery Plan'!E48,Data!U47,"")</f>
      </c>
      <c r="H48" s="53"/>
      <c r="I48" s="63">
        <f>IF(J48&lt;&gt;"","S"&amp;TEXT(WEEKNUM(J48),"00"),"")</f>
      </c>
      <c r="J48" s="42">
        <f>IF(AND(E48=Data!R47,Data!AA47&lt;&gt;""),Data!AA47,"")</f>
        <v>25569.041666666668</v>
      </c>
      <c r="K48" s="67">
        <f>IF(AND(E48=Data!R47,Data!AE47&lt;&gt;""),Data!AE47,"")</f>
        <v>25569.041666666668</v>
      </c>
      <c r="L48" s="68">
        <f>IF(E48=Data!R47,Data!AI47,"")</f>
      </c>
      <c r="M48" s="68">
        <f>IF(E48=Data!R47,Data!AJ47,"")</f>
      </c>
      <c r="N48" s="69">
        <f>IF(AND(Data!R47&lt;&gt;"",Data!L47="Accept&amp;#233;"),Data!K47,"")</f>
      </c>
    </row>
    <row x14ac:dyDescent="0.25" r="49" customHeight="1" ht="19.5">
      <c r="A49" s="62">
        <f>IF(AND(Data!R48&lt;&gt;"",Data!L48="Accept&amp;#233;"),Data!G48,"")</f>
      </c>
      <c r="B49" s="62">
        <f>IF(AND(Data!R48&lt;&gt;"",Data!L48="Accept&amp;#233;"),Data!L48,"")</f>
      </c>
      <c r="C49" s="63">
        <f>IF(D49&lt;&gt;"","S"&amp;TEXT(WEEKNUM(D49),"00"),"")</f>
      </c>
      <c r="D49" s="42">
        <f>IF(AND(Data!Q48&lt;&gt;"",Data!L48="Accept&amp;#233;"),Data!Q48,"")</f>
        <v>25569.041666666668</v>
      </c>
      <c r="E49" s="64">
        <f>IF(AND(Data!R48&lt;&gt;"",Data!L48="Accept&amp;#233;"),Data!R48,"")</f>
      </c>
      <c r="F49" s="65">
        <f>IF(AND(Data!R48&lt;&gt;"",Data!L48="Accept&amp;#233;"),Data!S48,"")</f>
      </c>
      <c r="G49" s="66">
        <f>IF(Data!R48='Delivery Plan'!E49,Data!U48,"")</f>
      </c>
      <c r="H49" s="53"/>
      <c r="I49" s="63">
        <f>IF(J49&lt;&gt;"","S"&amp;TEXT(WEEKNUM(J49),"00"),"")</f>
      </c>
      <c r="J49" s="42">
        <f>IF(AND(E49=Data!R48,Data!AA48&lt;&gt;""),Data!AA48,"")</f>
        <v>25569.041666666668</v>
      </c>
      <c r="K49" s="67">
        <f>IF(AND(E49=Data!R48,Data!AE48&lt;&gt;""),Data!AE48,"")</f>
        <v>25569.041666666668</v>
      </c>
      <c r="L49" s="68">
        <f>IF(E49=Data!R48,Data!AI48,"")</f>
      </c>
      <c r="M49" s="68">
        <f>IF(E49=Data!R48,Data!AJ48,"")</f>
      </c>
      <c r="N49" s="69">
        <f>IF(AND(Data!R48&lt;&gt;"",Data!L48="Accept&amp;#233;"),Data!K48,"")</f>
      </c>
    </row>
    <row x14ac:dyDescent="0.25" r="50" customHeight="1" ht="19.5" hidden="1">
      <c r="A50" s="62">
        <f>IF(AND(Data!R49&lt;&gt;"",Data!L49="Accept&amp;#233;"),Data!G49,"")</f>
      </c>
      <c r="B50" s="62">
        <f>IF(AND(Data!R49&lt;&gt;"",Data!L49="Accept&amp;#233;"),Data!L49,"")</f>
      </c>
      <c r="C50" s="63">
        <f>IF(D50&lt;&gt;"","S"&amp;TEXT(WEEKNUM(D50),"00"),"")</f>
      </c>
      <c r="D50" s="42">
        <f>IF(AND(Data!Q49&lt;&gt;"",Data!L49="Accept&amp;#233;"),Data!Q49,"")</f>
        <v>25569.041666666668</v>
      </c>
      <c r="E50" s="64">
        <f>IF(AND(Data!R49&lt;&gt;"",Data!L49="Accept&amp;#233;"),Data!R49,"")</f>
      </c>
      <c r="F50" s="65">
        <f>IF(AND(Data!R49&lt;&gt;"",Data!L49="Accept&amp;#233;"),Data!S49,"")</f>
      </c>
      <c r="G50" s="66">
        <f>IF(Data!R49='Delivery Plan'!E50,Data!U49,"")</f>
      </c>
      <c r="H50" s="53"/>
      <c r="I50" s="63">
        <f>IF(J50&lt;&gt;"","S"&amp;TEXT(WEEKNUM(J50),"00"),"")</f>
      </c>
      <c r="J50" s="42">
        <f>IF(AND(E50=Data!R49,Data!AA49&lt;&gt;""),Data!AA49,"")</f>
        <v>25569.041666666668</v>
      </c>
      <c r="K50" s="67">
        <f>IF(AND(E50=Data!R49,Data!AE49&lt;&gt;""),Data!AE49,"")</f>
        <v>25569.041666666668</v>
      </c>
      <c r="L50" s="68">
        <f>IF(E50=Data!R49,Data!AI49,"")</f>
      </c>
      <c r="M50" s="68">
        <f>IF(E50=Data!R49,Data!AJ49,"")</f>
      </c>
      <c r="N50" s="69">
        <f>IF(AND(Data!R49&lt;&gt;"",Data!L49="Accept&amp;#233;"),Data!K49,"")</f>
      </c>
    </row>
    <row x14ac:dyDescent="0.25" r="51" customHeight="1" ht="19.5" hidden="1">
      <c r="A51" s="62">
        <f>IF(AND(Data!R50&lt;&gt;"",Data!L50="Accept&amp;#233;"),Data!G50,"")</f>
      </c>
      <c r="B51" s="62">
        <f>IF(AND(Data!R50&lt;&gt;"",Data!L50="Accept&amp;#233;"),Data!L50,"")</f>
      </c>
      <c r="C51" s="63">
        <f>IF(D51&lt;&gt;"","S"&amp;TEXT(WEEKNUM(D51),"00"),"")</f>
      </c>
      <c r="D51" s="42">
        <f>IF(AND(Data!Q50&lt;&gt;"",Data!L50="Accept&amp;#233;"),Data!Q50,"")</f>
        <v>25569.041666666668</v>
      </c>
      <c r="E51" s="64">
        <f>IF(AND(Data!R50&lt;&gt;"",Data!L50="Accept&amp;#233;"),Data!R50,"")</f>
      </c>
      <c r="F51" s="65">
        <f>IF(AND(Data!R50&lt;&gt;"",Data!L50="Accept&amp;#233;"),Data!S50,"")</f>
      </c>
      <c r="G51" s="66">
        <f>IF(Data!R50='Delivery Plan'!E51,Data!U50,"")</f>
      </c>
      <c r="H51" s="53"/>
      <c r="I51" s="63">
        <f>IF(J51&lt;&gt;"","S"&amp;TEXT(WEEKNUM(J51),"00"),"")</f>
      </c>
      <c r="J51" s="42">
        <f>IF(AND(E51=Data!R50,Data!AA50&lt;&gt;""),Data!AA50,"")</f>
        <v>25569.041666666668</v>
      </c>
      <c r="K51" s="67">
        <f>IF(AND(E51=Data!R50,Data!AE50&lt;&gt;""),Data!AE50,"")</f>
        <v>25569.041666666668</v>
      </c>
      <c r="L51" s="68">
        <f>IF(E51=Data!R50,Data!AI50,"")</f>
      </c>
      <c r="M51" s="68">
        <f>IF(E51=Data!R50,Data!AJ50,"")</f>
      </c>
      <c r="N51" s="69">
        <f>IF(AND(Data!R50&lt;&gt;"",Data!L50="Accept&amp;#233;"),Data!K50,"")</f>
      </c>
    </row>
    <row x14ac:dyDescent="0.25" r="52" customHeight="1" ht="19.5" hidden="1">
      <c r="A52" s="62">
        <f>IF(AND(Data!R51&lt;&gt;"",Data!L51="Accept&amp;#233;"),Data!G51,"")</f>
      </c>
      <c r="B52" s="62">
        <f>IF(AND(Data!R51&lt;&gt;"",Data!L51="Accept&amp;#233;"),Data!L51,"")</f>
      </c>
      <c r="C52" s="63">
        <f>IF(D52&lt;&gt;"","S"&amp;TEXT(WEEKNUM(D52),"00"),"")</f>
      </c>
      <c r="D52" s="42">
        <f>IF(AND(Data!Q51&lt;&gt;"",Data!L51="Accept&amp;#233;"),Data!Q51,"")</f>
        <v>25569.041666666668</v>
      </c>
      <c r="E52" s="64">
        <f>IF(AND(Data!R51&lt;&gt;"",Data!L51="Accept&amp;#233;"),Data!R51,"")</f>
      </c>
      <c r="F52" s="65">
        <f>IF(AND(Data!R51&lt;&gt;"",Data!L51="Accept&amp;#233;"),Data!S51,"")</f>
      </c>
      <c r="G52" s="66">
        <f>IF(Data!R51='Delivery Plan'!E52,Data!U51,"")</f>
      </c>
      <c r="H52" s="53"/>
      <c r="I52" s="63">
        <f>IF(J52&lt;&gt;"","S"&amp;TEXT(WEEKNUM(J52),"00"),"")</f>
      </c>
      <c r="J52" s="42">
        <f>IF(AND(E52=Data!R51,Data!AA51&lt;&gt;""),Data!AA51,"")</f>
        <v>25569.041666666668</v>
      </c>
      <c r="K52" s="67">
        <f>IF(AND(E52=Data!R51,Data!AE51&lt;&gt;""),Data!AE51,"")</f>
        <v>25569.041666666668</v>
      </c>
      <c r="L52" s="68">
        <f>IF(E52=Data!R51,Data!AI51,"")</f>
      </c>
      <c r="M52" s="68">
        <f>IF(E52=Data!R51,Data!AJ51,"")</f>
      </c>
      <c r="N52" s="69">
        <f>IF(AND(Data!R51&lt;&gt;"",Data!L51="Accept&amp;#233;"),Data!K51,"")</f>
      </c>
    </row>
    <row x14ac:dyDescent="0.25" r="53" customHeight="1" ht="19.5" hidden="1">
      <c r="A53" s="62">
        <f>IF(AND(Data!R52&lt;&gt;"",Data!L52="Accept&amp;#233;"),Data!G52,"")</f>
      </c>
      <c r="B53" s="62">
        <f>IF(AND(Data!R52&lt;&gt;"",Data!L52="Accept&amp;#233;"),Data!L52,"")</f>
      </c>
      <c r="C53" s="63">
        <f>IF(D53&lt;&gt;"","S"&amp;TEXT(WEEKNUM(D53),"00"),"")</f>
      </c>
      <c r="D53" s="42">
        <f>IF(AND(Data!Q52&lt;&gt;"",Data!L52="Accept&amp;#233;"),Data!Q52,"")</f>
        <v>25569.041666666668</v>
      </c>
      <c r="E53" s="64">
        <f>IF(AND(Data!R52&lt;&gt;"",Data!L52="Accept&amp;#233;"),Data!R52,"")</f>
      </c>
      <c r="F53" s="65">
        <f>IF(AND(Data!R52&lt;&gt;"",Data!L52="Accept&amp;#233;"),Data!S52,"")</f>
      </c>
      <c r="G53" s="66">
        <f>IF(Data!R52='Delivery Plan'!E53,Data!U52,"")</f>
      </c>
      <c r="H53" s="53"/>
      <c r="I53" s="63">
        <f>IF(J53&lt;&gt;"","S"&amp;TEXT(WEEKNUM(J53),"00"),"")</f>
      </c>
      <c r="J53" s="42">
        <f>IF(AND(E53=Data!R52,Data!AA52&lt;&gt;""),Data!AA52,"")</f>
        <v>25569.041666666668</v>
      </c>
      <c r="K53" s="67">
        <f>IF(AND(E53=Data!R52,Data!AE52&lt;&gt;""),Data!AE52,"")</f>
        <v>25569.041666666668</v>
      </c>
      <c r="L53" s="68">
        <f>IF(E53=Data!R52,Data!AI52,"")</f>
      </c>
      <c r="M53" s="68">
        <f>IF(E53=Data!R52,Data!AJ52,"")</f>
      </c>
      <c r="N53" s="69">
        <f>IF(AND(Data!R52&lt;&gt;"",Data!L52="Accept&amp;#233;"),Data!K52,"")</f>
      </c>
    </row>
    <row x14ac:dyDescent="0.25" r="54" customHeight="1" ht="19.5" hidden="1">
      <c r="A54" s="62">
        <f>IF(AND(Data!R53&lt;&gt;"",Data!L53="Accept&amp;#233;"),Data!G53,"")</f>
      </c>
      <c r="B54" s="62">
        <f>IF(AND(Data!R53&lt;&gt;"",Data!L53="Accept&amp;#233;"),Data!L53,"")</f>
      </c>
      <c r="C54" s="63">
        <f>IF(D54&lt;&gt;"","S"&amp;TEXT(WEEKNUM(D54),"00"),"")</f>
      </c>
      <c r="D54" s="42">
        <f>IF(AND(Data!Q53&lt;&gt;"",Data!L53="Accept&amp;#233;"),Data!Q53,"")</f>
        <v>25569.041666666668</v>
      </c>
      <c r="E54" s="64">
        <f>IF(AND(Data!R53&lt;&gt;"",Data!L53="Accept&amp;#233;"),Data!R53,"")</f>
      </c>
      <c r="F54" s="65">
        <f>IF(AND(Data!R53&lt;&gt;"",Data!L53="Accept&amp;#233;"),Data!S53,"")</f>
      </c>
      <c r="G54" s="66">
        <f>IF(Data!R53='Delivery Plan'!E54,Data!U53,"")</f>
      </c>
      <c r="H54" s="53"/>
      <c r="I54" s="63">
        <f>IF(J54&lt;&gt;"","S"&amp;TEXT(WEEKNUM(J54),"00"),"")</f>
      </c>
      <c r="J54" s="42">
        <f>IF(AND(E54=Data!R53,Data!AA53&lt;&gt;""),Data!AA53,"")</f>
        <v>25569.041666666668</v>
      </c>
      <c r="K54" s="67">
        <f>IF(AND(E54=Data!R53,Data!AE53&lt;&gt;""),Data!AE53,"")</f>
        <v>25569.041666666668</v>
      </c>
      <c r="L54" s="68">
        <f>IF(E54=Data!R53,Data!AI53,"")</f>
      </c>
      <c r="M54" s="68">
        <f>IF(E54=Data!R53,Data!AJ53,"")</f>
      </c>
      <c r="N54" s="69">
        <f>IF(AND(Data!R53&lt;&gt;"",Data!L53="Accept&amp;#233;"),Data!K53,"")</f>
      </c>
    </row>
    <row x14ac:dyDescent="0.25" r="55" customHeight="1" ht="19.5" hidden="1">
      <c r="A55" s="62">
        <f>IF(AND(Data!R54&lt;&gt;"",Data!L54="Accept&amp;#233;"),Data!G54,"")</f>
      </c>
      <c r="B55" s="62">
        <f>IF(AND(Data!R54&lt;&gt;"",Data!L54="Accept&amp;#233;"),Data!L54,"")</f>
      </c>
      <c r="C55" s="63">
        <f>IF(D55&lt;&gt;"","S"&amp;TEXT(WEEKNUM(D55),"00"),"")</f>
      </c>
      <c r="D55" s="42">
        <f>IF(AND(Data!Q54&lt;&gt;"",Data!L54="Accept&amp;#233;"),Data!Q54,"")</f>
        <v>25569.041666666668</v>
      </c>
      <c r="E55" s="64">
        <f>IF(AND(Data!R54&lt;&gt;"",Data!L54="Accept&amp;#233;"),Data!R54,"")</f>
      </c>
      <c r="F55" s="65">
        <f>IF(AND(Data!R54&lt;&gt;"",Data!L54="Accept&amp;#233;"),Data!S54,"")</f>
      </c>
      <c r="G55" s="66">
        <f>IF(Data!R54='Delivery Plan'!E55,Data!U54,"")</f>
      </c>
      <c r="H55" s="53"/>
      <c r="I55" s="63">
        <f>IF(J55&lt;&gt;"","S"&amp;TEXT(WEEKNUM(J55),"00"),"")</f>
      </c>
      <c r="J55" s="42">
        <f>IF(AND(E55=Data!R54,Data!AA54&lt;&gt;""),Data!AA54,"")</f>
        <v>25569.041666666668</v>
      </c>
      <c r="K55" s="67">
        <f>IF(AND(E55=Data!R54,Data!AE54&lt;&gt;""),Data!AE54,"")</f>
        <v>25569.041666666668</v>
      </c>
      <c r="L55" s="68">
        <f>IF(E55=Data!R54,Data!AI54,"")</f>
      </c>
      <c r="M55" s="68">
        <f>IF(E55=Data!R54,Data!AJ54,"")</f>
      </c>
      <c r="N55" s="69">
        <f>IF(AND(Data!R54&lt;&gt;"",Data!L54="Accept&amp;#233;"),Data!K54,"")</f>
      </c>
    </row>
    <row x14ac:dyDescent="0.25" r="56" customHeight="1" ht="19.5" hidden="1">
      <c r="A56" s="62">
        <f>IF(AND(Data!R55&lt;&gt;"",Data!L55="Accept&amp;#233;"),Data!G55,"")</f>
      </c>
      <c r="B56" s="62">
        <f>IF(AND(Data!R55&lt;&gt;"",Data!L55="Accept&amp;#233;"),Data!L55,"")</f>
      </c>
      <c r="C56" s="63">
        <f>IF(D56&lt;&gt;"","S"&amp;TEXT(WEEKNUM(D56),"00"),"")</f>
      </c>
      <c r="D56" s="42">
        <f>IF(AND(Data!Q55&lt;&gt;"",Data!L55="Accept&amp;#233;"),Data!Q55,"")</f>
        <v>25569.041666666668</v>
      </c>
      <c r="E56" s="64">
        <f>IF(AND(Data!R55&lt;&gt;"",Data!L55="Accept&amp;#233;"),Data!R55,"")</f>
      </c>
      <c r="F56" s="65">
        <f>IF(AND(Data!R55&lt;&gt;"",Data!L55="Accept&amp;#233;"),Data!S55,"")</f>
      </c>
      <c r="G56" s="66">
        <f>IF(Data!R55='Delivery Plan'!E56,Data!U55,"")</f>
      </c>
      <c r="H56" s="53"/>
      <c r="I56" s="63">
        <f>IF(J56&lt;&gt;"","S"&amp;TEXT(WEEKNUM(J56),"00"),"")</f>
      </c>
      <c r="J56" s="42">
        <f>IF(AND(E56=Data!R55,Data!AA55&lt;&gt;""),Data!AA55,"")</f>
        <v>25569.041666666668</v>
      </c>
      <c r="K56" s="67">
        <f>IF(AND(E56=Data!R55,Data!AE55&lt;&gt;""),Data!AE55,"")</f>
        <v>25569.041666666668</v>
      </c>
      <c r="L56" s="68">
        <f>IF(E56=Data!R55,Data!AI55,"")</f>
      </c>
      <c r="M56" s="68">
        <f>IF(E56=Data!R55,Data!AJ55,"")</f>
      </c>
      <c r="N56" s="69">
        <f>IF(AND(Data!R55&lt;&gt;"",Data!L55="Accept&amp;#233;"),Data!K55,"")</f>
      </c>
    </row>
    <row x14ac:dyDescent="0.25" r="57" customHeight="1" ht="19.5" hidden="1">
      <c r="A57" s="62">
        <f>IF(AND(Data!R56&lt;&gt;"",Data!L56="Accept&amp;#233;"),Data!G56,"")</f>
      </c>
      <c r="B57" s="62">
        <f>IF(AND(Data!R56&lt;&gt;"",Data!L56="Accept&amp;#233;"),Data!L56,"")</f>
      </c>
      <c r="C57" s="63">
        <f>IF(D57&lt;&gt;"","S"&amp;TEXT(WEEKNUM(D57),"00"),"")</f>
      </c>
      <c r="D57" s="42">
        <f>IF(AND(Data!Q56&lt;&gt;"",Data!L56="Accept&amp;#233;"),Data!Q56,"")</f>
        <v>25569.041666666668</v>
      </c>
      <c r="E57" s="64">
        <f>IF(AND(Data!R56&lt;&gt;"",Data!L56="Accept&amp;#233;"),Data!R56,"")</f>
      </c>
      <c r="F57" s="65">
        <f>IF(AND(Data!R56&lt;&gt;"",Data!L56="Accept&amp;#233;"),Data!S56,"")</f>
      </c>
      <c r="G57" s="66">
        <f>IF(Data!R56='Delivery Plan'!E57,Data!U56,"")</f>
      </c>
      <c r="H57" s="53"/>
      <c r="I57" s="63">
        <f>IF(J57&lt;&gt;"","S"&amp;TEXT(WEEKNUM(J57),"00"),"")</f>
      </c>
      <c r="J57" s="42">
        <f>IF(AND(E57=Data!R56,Data!AA56&lt;&gt;""),Data!AA56,"")</f>
        <v>25569.041666666668</v>
      </c>
      <c r="K57" s="67">
        <f>IF(AND(E57=Data!R56,Data!AE56&lt;&gt;""),Data!AE56,"")</f>
        <v>25569.041666666668</v>
      </c>
      <c r="L57" s="68">
        <f>IF(E57=Data!R56,Data!AI56,"")</f>
      </c>
      <c r="M57" s="68">
        <f>IF(E57=Data!R56,Data!AJ56,"")</f>
      </c>
      <c r="N57" s="69">
        <f>IF(AND(Data!R56&lt;&gt;"",Data!L56="Accept&amp;#233;"),Data!K56,"")</f>
      </c>
    </row>
    <row x14ac:dyDescent="0.25" r="58" customHeight="1" ht="19.5">
      <c r="A58" s="62">
        <f>IF(AND(Data!R57&lt;&gt;"",Data!L57="Accept&amp;#233;"),Data!G57,"")</f>
      </c>
      <c r="B58" s="62">
        <f>IF(AND(Data!R57&lt;&gt;"",Data!L57="Accept&amp;#233;"),Data!L57,"")</f>
      </c>
      <c r="C58" s="63">
        <f>IF(D58&lt;&gt;"","S"&amp;TEXT(WEEKNUM(D58),"00"),"")</f>
      </c>
      <c r="D58" s="42">
        <f>IF(AND(Data!Q57&lt;&gt;"",Data!L57="Accept&amp;#233;"),Data!Q57,"")</f>
        <v>25569.041666666668</v>
      </c>
      <c r="E58" s="64">
        <f>IF(AND(Data!R57&lt;&gt;"",Data!L57="Accept&amp;#233;"),Data!R57,"")</f>
      </c>
      <c r="F58" s="65">
        <f>IF(AND(Data!R57&lt;&gt;"",Data!L57="Accept&amp;#233;"),Data!S57,"")</f>
      </c>
      <c r="G58" s="66">
        <f>IF(Data!R57='Delivery Plan'!E58,Data!U57,"")</f>
      </c>
      <c r="H58" s="53"/>
      <c r="I58" s="63">
        <f>IF(J58&lt;&gt;"","S"&amp;TEXT(WEEKNUM(J58),"00"),"")</f>
      </c>
      <c r="J58" s="42">
        <f>IF(AND(E58=Data!R57,Data!AA57&lt;&gt;""),Data!AA57,"")</f>
        <v>25569.041666666668</v>
      </c>
      <c r="K58" s="67">
        <f>IF(AND(E58=Data!R57,Data!AE57&lt;&gt;""),Data!AE57,"")</f>
        <v>25569.041666666668</v>
      </c>
      <c r="L58" s="68">
        <f>IF(E58=Data!R57,Data!AI57,"")</f>
      </c>
      <c r="M58" s="68">
        <f>IF(E58=Data!R57,Data!AJ57,"")</f>
      </c>
      <c r="N58" s="69">
        <f>IF(AND(Data!R57&lt;&gt;"",Data!L57="Accept&amp;#233;"),Data!K57,"")</f>
      </c>
    </row>
    <row x14ac:dyDescent="0.25" r="59" customHeight="1" ht="19.5" hidden="1">
      <c r="A59" s="62">
        <f>IF(AND(Data!R58&lt;&gt;"",Data!L58="Accept&amp;#233;"),Data!G58,"")</f>
      </c>
      <c r="B59" s="62">
        <f>IF(AND(Data!R58&lt;&gt;"",Data!L58="Accept&amp;#233;"),Data!L58,"")</f>
      </c>
      <c r="C59" s="63">
        <f>IF(D59&lt;&gt;"","S"&amp;TEXT(WEEKNUM(D59),"00"),"")</f>
      </c>
      <c r="D59" s="42">
        <f>IF(AND(Data!Q58&lt;&gt;"",Data!L58="Accept&amp;#233;"),Data!Q58,"")</f>
        <v>25569.041666666668</v>
      </c>
      <c r="E59" s="64">
        <f>IF(AND(Data!R58&lt;&gt;"",Data!L58="Accept&amp;#233;"),Data!R58,"")</f>
      </c>
      <c r="F59" s="65">
        <f>IF(AND(Data!R58&lt;&gt;"",Data!L58="Accept&amp;#233;"),Data!S58,"")</f>
      </c>
      <c r="G59" s="66">
        <f>IF(Data!R58='Delivery Plan'!E59,Data!U58,"")</f>
      </c>
      <c r="H59" s="53"/>
      <c r="I59" s="63">
        <f>IF(J59&lt;&gt;"","S"&amp;TEXT(WEEKNUM(J59),"00"),"")</f>
      </c>
      <c r="J59" s="42">
        <f>IF(AND(E59=Data!R58,Data!AA58&lt;&gt;""),Data!AA58,"")</f>
        <v>25569.041666666668</v>
      </c>
      <c r="K59" s="67">
        <f>IF(AND(E59=Data!R58,Data!AE58&lt;&gt;""),Data!AE58,"")</f>
        <v>25569.041666666668</v>
      </c>
      <c r="L59" s="68">
        <f>IF(E59=Data!R58,Data!AI58,"")</f>
      </c>
      <c r="M59" s="68">
        <f>IF(E59=Data!R58,Data!AJ58,"")</f>
      </c>
      <c r="N59" s="69">
        <f>IF(AND(Data!R58&lt;&gt;"",Data!L58="Accept&amp;#233;"),Data!K58,"")</f>
      </c>
    </row>
    <row x14ac:dyDescent="0.25" r="60" customHeight="1" ht="19.5" hidden="1">
      <c r="A60" s="62">
        <f>IF(AND(Data!R59&lt;&gt;"",Data!L59="Accept&amp;#233;"),Data!G59,"")</f>
      </c>
      <c r="B60" s="62">
        <f>IF(AND(Data!R59&lt;&gt;"",Data!L59="Accept&amp;#233;"),Data!L59,"")</f>
      </c>
      <c r="C60" s="63">
        <f>IF(D60&lt;&gt;"","S"&amp;TEXT(WEEKNUM(D60),"00"),"")</f>
      </c>
      <c r="D60" s="42">
        <f>IF(AND(Data!Q59&lt;&gt;"",Data!L59="Accept&amp;#233;"),Data!Q59,"")</f>
        <v>25569.041666666668</v>
      </c>
      <c r="E60" s="64">
        <f>IF(AND(Data!R59&lt;&gt;"",Data!L59="Accept&amp;#233;"),Data!R59,"")</f>
      </c>
      <c r="F60" s="65">
        <f>IF(AND(Data!R59&lt;&gt;"",Data!L59="Accept&amp;#233;"),Data!S59,"")</f>
      </c>
      <c r="G60" s="66">
        <f>IF(Data!R59='Delivery Plan'!E60,Data!U59,"")</f>
      </c>
      <c r="H60" s="53"/>
      <c r="I60" s="63">
        <f>IF(J60&lt;&gt;"","S"&amp;TEXT(WEEKNUM(J60),"00"),"")</f>
      </c>
      <c r="J60" s="42">
        <f>IF(AND(E60=Data!R59,Data!AA59&lt;&gt;""),Data!AA59,"")</f>
        <v>25569.041666666668</v>
      </c>
      <c r="K60" s="67">
        <f>IF(AND(E60=Data!R59,Data!AE59&lt;&gt;""),Data!AE59,"")</f>
        <v>25569.041666666668</v>
      </c>
      <c r="L60" s="68">
        <f>IF(E60=Data!R59,Data!AI59,"")</f>
      </c>
      <c r="M60" s="68">
        <f>IF(E60=Data!R59,Data!AJ59,"")</f>
      </c>
      <c r="N60" s="69">
        <f>IF(AND(Data!R59&lt;&gt;"",Data!L59="Accept&amp;#233;"),Data!K59,"")</f>
      </c>
    </row>
    <row x14ac:dyDescent="0.25" r="61" customHeight="1" ht="19.5">
      <c r="A61" s="62">
        <f>IF(AND(Data!R60&lt;&gt;"",Data!L60="Accept&amp;#233;"),Data!G60,"")</f>
      </c>
      <c r="B61" s="62">
        <f>IF(AND(Data!R60&lt;&gt;"",Data!L60="Accept&amp;#233;"),Data!L60,"")</f>
      </c>
      <c r="C61" s="63">
        <f>IF(D61&lt;&gt;"","S"&amp;TEXT(WEEKNUM(D61),"00"),"")</f>
      </c>
      <c r="D61" s="42">
        <f>IF(AND(Data!Q60&lt;&gt;"",Data!L60="Accept&amp;#233;"),Data!Q60,"")</f>
        <v>25569.041666666668</v>
      </c>
      <c r="E61" s="64">
        <f>IF(AND(Data!R60&lt;&gt;"",Data!L60="Accept&amp;#233;"),Data!R60,"")</f>
      </c>
      <c r="F61" s="65">
        <f>IF(AND(Data!R60&lt;&gt;"",Data!L60="Accept&amp;#233;"),Data!S60,"")</f>
      </c>
      <c r="G61" s="66">
        <f>IF(Data!R60='Delivery Plan'!E61,Data!U60,"")</f>
      </c>
      <c r="H61" s="53"/>
      <c r="I61" s="63">
        <f>IF(J61&lt;&gt;"","S"&amp;TEXT(WEEKNUM(J61),"00"),"")</f>
      </c>
      <c r="J61" s="42">
        <f>IF(AND(E61=Data!R60,Data!AA60&lt;&gt;""),Data!AA60,"")</f>
        <v>25569.041666666668</v>
      </c>
      <c r="K61" s="67">
        <f>IF(AND(E61=Data!R60,Data!AE60&lt;&gt;""),Data!AE60,"")</f>
        <v>25569.041666666668</v>
      </c>
      <c r="L61" s="68">
        <f>IF(E61=Data!R60,Data!AI60,"")</f>
      </c>
      <c r="M61" s="68">
        <f>IF(E61=Data!R60,Data!AJ60,"")</f>
      </c>
      <c r="N61" s="69">
        <f>IF(AND(Data!R60&lt;&gt;"",Data!L60="Accept&amp;#233;"),Data!K60,"")</f>
      </c>
    </row>
    <row x14ac:dyDescent="0.25" r="62" customHeight="1" ht="19.5" hidden="1">
      <c r="A62" s="62">
        <f>IF(AND(Data!R61&lt;&gt;"",Data!L61="Accept&amp;#233;"),Data!G61,"")</f>
      </c>
      <c r="B62" s="62">
        <f>IF(AND(Data!R61&lt;&gt;"",Data!L61="Accept&amp;#233;"),Data!L61,"")</f>
      </c>
      <c r="C62" s="63">
        <f>IF(D62&lt;&gt;"","S"&amp;TEXT(WEEKNUM(D62),"00"),"")</f>
      </c>
      <c r="D62" s="42">
        <f>IF(AND(Data!Q61&lt;&gt;"",Data!L61="Accept&amp;#233;"),Data!Q61,"")</f>
        <v>25569.041666666668</v>
      </c>
      <c r="E62" s="64">
        <f>IF(AND(Data!R61&lt;&gt;"",Data!L61="Accept&amp;#233;"),Data!R61,"")</f>
      </c>
      <c r="F62" s="65">
        <f>IF(AND(Data!R61&lt;&gt;"",Data!L61="Accept&amp;#233;"),Data!S61,"")</f>
      </c>
      <c r="G62" s="66">
        <f>IF(Data!R61='Delivery Plan'!E62,Data!U61,"")</f>
      </c>
      <c r="H62" s="53"/>
      <c r="I62" s="63">
        <f>IF(J62&lt;&gt;"","S"&amp;TEXT(WEEKNUM(J62),"00"),"")</f>
      </c>
      <c r="J62" s="42">
        <f>IF(AND(E62=Data!R61,Data!AA61&lt;&gt;""),Data!AA61,"")</f>
        <v>25569.041666666668</v>
      </c>
      <c r="K62" s="67">
        <f>IF(AND(E62=Data!R61,Data!AE61&lt;&gt;""),Data!AE61,"")</f>
        <v>25569.041666666668</v>
      </c>
      <c r="L62" s="68">
        <f>IF(E62=Data!R61,Data!AI61,"")</f>
      </c>
      <c r="M62" s="68">
        <f>IF(E62=Data!R61,Data!AJ61,"")</f>
      </c>
      <c r="N62" s="69">
        <f>IF(AND(Data!R61&lt;&gt;"",Data!L61="Accept&amp;#233;"),Data!K61,"")</f>
      </c>
    </row>
    <row x14ac:dyDescent="0.25" r="63" customHeight="1" ht="19.5" hidden="1">
      <c r="A63" s="62">
        <f>IF(AND(Data!R62&lt;&gt;"",Data!L62="Accept&amp;#233;"),Data!G62,"")</f>
      </c>
      <c r="B63" s="62">
        <f>IF(AND(Data!R62&lt;&gt;"",Data!L62="Accept&amp;#233;"),Data!L62,"")</f>
      </c>
      <c r="C63" s="63">
        <f>IF(D63&lt;&gt;"","S"&amp;TEXT(WEEKNUM(D63),"00"),"")</f>
      </c>
      <c r="D63" s="42">
        <f>IF(AND(Data!Q62&lt;&gt;"",Data!L62="Accept&amp;#233;"),Data!Q62,"")</f>
        <v>25569.041666666668</v>
      </c>
      <c r="E63" s="64">
        <f>IF(AND(Data!R62&lt;&gt;"",Data!L62="Accept&amp;#233;"),Data!R62,"")</f>
      </c>
      <c r="F63" s="65">
        <f>IF(AND(Data!R62&lt;&gt;"",Data!L62="Accept&amp;#233;"),Data!S62,"")</f>
      </c>
      <c r="G63" s="66">
        <f>IF(Data!R62='Delivery Plan'!E63,Data!U62,"")</f>
      </c>
      <c r="H63" s="53"/>
      <c r="I63" s="63">
        <f>IF(J63&lt;&gt;"","S"&amp;TEXT(WEEKNUM(J63),"00"),"")</f>
      </c>
      <c r="J63" s="42">
        <f>IF(AND(E63=Data!R62,Data!AA62&lt;&gt;""),Data!AA62,"")</f>
        <v>25569.041666666668</v>
      </c>
      <c r="K63" s="67">
        <f>IF(AND(E63=Data!R62,Data!AE62&lt;&gt;""),Data!AE62,"")</f>
        <v>25569.041666666668</v>
      </c>
      <c r="L63" s="68">
        <f>IF(E63=Data!R62,Data!AI62,"")</f>
      </c>
      <c r="M63" s="68">
        <f>IF(E63=Data!R62,Data!AJ62,"")</f>
      </c>
      <c r="N63" s="69">
        <f>IF(AND(Data!R62&lt;&gt;"",Data!L62="Accept&amp;#233;"),Data!K62,"")</f>
      </c>
    </row>
    <row x14ac:dyDescent="0.25" r="64" customHeight="1" ht="19.5" hidden="1">
      <c r="A64" s="62">
        <f>IF(AND(Data!R63&lt;&gt;"",Data!L63="Accept&amp;#233;"),Data!G63,"")</f>
      </c>
      <c r="B64" s="62">
        <f>IF(AND(Data!R63&lt;&gt;"",Data!L63="Accept&amp;#233;"),Data!L63,"")</f>
      </c>
      <c r="C64" s="63">
        <f>IF(D64&lt;&gt;"","S"&amp;TEXT(WEEKNUM(D64),"00"),"")</f>
      </c>
      <c r="D64" s="42">
        <f>IF(AND(Data!Q63&lt;&gt;"",Data!L63="Accept&amp;#233;"),Data!Q63,"")</f>
        <v>25569.041666666668</v>
      </c>
      <c r="E64" s="64">
        <f>IF(AND(Data!R63&lt;&gt;"",Data!L63="Accept&amp;#233;"),Data!R63,"")</f>
      </c>
      <c r="F64" s="65">
        <f>IF(AND(Data!R63&lt;&gt;"",Data!L63="Accept&amp;#233;"),Data!S63,"")</f>
      </c>
      <c r="G64" s="66">
        <f>IF(Data!R63='Delivery Plan'!E64,Data!U63,"")</f>
      </c>
      <c r="H64" s="53"/>
      <c r="I64" s="63">
        <f>IF(J64&lt;&gt;"","S"&amp;TEXT(WEEKNUM(J64),"00"),"")</f>
      </c>
      <c r="J64" s="42">
        <f>IF(AND(E64=Data!R63,Data!AA63&lt;&gt;""),Data!AA63,"")</f>
        <v>25569.041666666668</v>
      </c>
      <c r="K64" s="67">
        <f>IF(AND(E64=Data!R63,Data!AE63&lt;&gt;""),Data!AE63,"")</f>
        <v>25569.041666666668</v>
      </c>
      <c r="L64" s="68">
        <f>IF(E64=Data!R63,Data!AI63,"")</f>
      </c>
      <c r="M64" s="68">
        <f>IF(E64=Data!R63,Data!AJ63,"")</f>
      </c>
      <c r="N64" s="69">
        <f>IF(AND(Data!R63&lt;&gt;"",Data!L63="Accept&amp;#233;"),Data!K63,"")</f>
      </c>
    </row>
    <row x14ac:dyDescent="0.25" r="65" customHeight="1" ht="19.5">
      <c r="A65" s="62">
        <f>IF(AND(Data!R64&lt;&gt;"",Data!L64="Accept&amp;#233;"),Data!G64,"")</f>
      </c>
      <c r="B65" s="62">
        <f>IF(AND(Data!R64&lt;&gt;"",Data!L64="Accept&amp;#233;"),Data!L64,"")</f>
      </c>
      <c r="C65" s="63">
        <f>IF(D65&lt;&gt;"","S"&amp;TEXT(WEEKNUM(D65),"00"),"")</f>
      </c>
      <c r="D65" s="42">
        <f>IF(AND(Data!Q64&lt;&gt;"",Data!L64="Accept&amp;#233;"),Data!Q64,"")</f>
        <v>25569.041666666668</v>
      </c>
      <c r="E65" s="64">
        <f>IF(AND(Data!R64&lt;&gt;"",Data!L64="Accept&amp;#233;"),Data!R64,"")</f>
      </c>
      <c r="F65" s="65">
        <f>IF(AND(Data!R64&lt;&gt;"",Data!L64="Accept&amp;#233;"),Data!S64,"")</f>
      </c>
      <c r="G65" s="66">
        <f>IF(Data!R64='Delivery Plan'!E65,Data!U64,"")</f>
      </c>
      <c r="H65" s="53"/>
      <c r="I65" s="63">
        <f>IF(J65&lt;&gt;"","S"&amp;TEXT(WEEKNUM(J65),"00"),"")</f>
      </c>
      <c r="J65" s="42">
        <f>IF(AND(E65=Data!R64,Data!AA64&lt;&gt;""),Data!AA64,"")</f>
        <v>25569.041666666668</v>
      </c>
      <c r="K65" s="67">
        <f>IF(AND(E65=Data!R64,Data!AE64&lt;&gt;""),Data!AE64,"")</f>
        <v>25569.041666666668</v>
      </c>
      <c r="L65" s="68">
        <f>IF(E65=Data!R64,Data!AI64,"")</f>
      </c>
      <c r="M65" s="68">
        <f>IF(E65=Data!R64,Data!AJ64,"")</f>
      </c>
      <c r="N65" s="69">
        <f>IF(AND(Data!R64&lt;&gt;"",Data!L64="Accept&amp;#233;"),Data!K64,"")</f>
      </c>
    </row>
    <row x14ac:dyDescent="0.25" r="66" customHeight="1" ht="19.5" hidden="1">
      <c r="A66" s="62">
        <f>IF(AND(Data!R65&lt;&gt;"",Data!L65="Accept&amp;#233;"),Data!G65,"")</f>
      </c>
      <c r="B66" s="62">
        <f>IF(AND(Data!R65&lt;&gt;"",Data!L65="Accept&amp;#233;"),Data!L65,"")</f>
      </c>
      <c r="C66" s="63">
        <f>IF(D66&lt;&gt;"","S"&amp;TEXT(WEEKNUM(D66),"00"),"")</f>
      </c>
      <c r="D66" s="42">
        <f>IF(AND(Data!Q65&lt;&gt;"",Data!L65="Accept&amp;#233;"),Data!Q65,"")</f>
        <v>25569.041666666668</v>
      </c>
      <c r="E66" s="64">
        <f>IF(AND(Data!R65&lt;&gt;"",Data!L65="Accept&amp;#233;"),Data!R65,"")</f>
      </c>
      <c r="F66" s="65">
        <f>IF(AND(Data!R65&lt;&gt;"",Data!L65="Accept&amp;#233;"),Data!S65,"")</f>
      </c>
      <c r="G66" s="66">
        <f>IF(Data!R65='Delivery Plan'!E66,Data!U65,"")</f>
      </c>
      <c r="H66" s="53"/>
      <c r="I66" s="63">
        <f>IF(J66&lt;&gt;"","S"&amp;TEXT(WEEKNUM(J66),"00"),"")</f>
      </c>
      <c r="J66" s="42">
        <f>IF(AND(E66=Data!R65,Data!AA65&lt;&gt;""),Data!AA65,"")</f>
        <v>25569.041666666668</v>
      </c>
      <c r="K66" s="67">
        <f>IF(AND(E66=Data!R65,Data!AE65&lt;&gt;""),Data!AE65,"")</f>
        <v>25569.041666666668</v>
      </c>
      <c r="L66" s="68">
        <f>IF(E66=Data!R65,Data!AI65,"")</f>
      </c>
      <c r="M66" s="68">
        <f>IF(E66=Data!R65,Data!AJ65,"")</f>
      </c>
      <c r="N66" s="69">
        <f>IF(AND(Data!R65&lt;&gt;"",Data!L65="Accept&amp;#233;"),Data!K65,"")</f>
      </c>
    </row>
    <row x14ac:dyDescent="0.25" r="67" customHeight="1" ht="19.5" hidden="1">
      <c r="A67" s="62">
        <f>IF(AND(Data!R66&lt;&gt;"",Data!L66="Accept&amp;#233;"),Data!G66,"")</f>
      </c>
      <c r="B67" s="62">
        <f>IF(AND(Data!R66&lt;&gt;"",Data!L66="Accept&amp;#233;"),Data!L66,"")</f>
      </c>
      <c r="C67" s="63">
        <f>IF(D67&lt;&gt;"","S"&amp;TEXT(WEEKNUM(D67),"00"),"")</f>
      </c>
      <c r="D67" s="42">
        <f>IF(AND(Data!Q66&lt;&gt;"",Data!L66="Accept&amp;#233;"),Data!Q66,"")</f>
        <v>25569.041666666668</v>
      </c>
      <c r="E67" s="64">
        <f>IF(AND(Data!R66&lt;&gt;"",Data!L66="Accept&amp;#233;"),Data!R66,"")</f>
      </c>
      <c r="F67" s="65">
        <f>IF(AND(Data!R66&lt;&gt;"",Data!L66="Accept&amp;#233;"),Data!S66,"")</f>
      </c>
      <c r="G67" s="66">
        <f>IF(Data!R66='Delivery Plan'!E67,Data!U66,"")</f>
      </c>
      <c r="H67" s="53"/>
      <c r="I67" s="63">
        <f>IF(J67&lt;&gt;"","S"&amp;TEXT(WEEKNUM(J67),"00"),"")</f>
      </c>
      <c r="J67" s="42">
        <f>IF(AND(E67=Data!R66,Data!AA66&lt;&gt;""),Data!AA66,"")</f>
        <v>25569.041666666668</v>
      </c>
      <c r="K67" s="67">
        <f>IF(AND(E67=Data!R66,Data!AE66&lt;&gt;""),Data!AE66,"")</f>
        <v>25569.041666666668</v>
      </c>
      <c r="L67" s="68">
        <f>IF(E67=Data!R66,Data!AI66,"")</f>
      </c>
      <c r="M67" s="68">
        <f>IF(E67=Data!R66,Data!AJ66,"")</f>
      </c>
      <c r="N67" s="69">
        <f>IF(AND(Data!R66&lt;&gt;"",Data!L66="Accept&amp;#233;"),Data!K66,"")</f>
      </c>
    </row>
    <row x14ac:dyDescent="0.25" r="68" customHeight="1" ht="19.5" hidden="1">
      <c r="A68" s="62">
        <f>IF(AND(Data!R67&lt;&gt;"",Data!L67="Accept&amp;#233;"),Data!G67,"")</f>
      </c>
      <c r="B68" s="62">
        <f>IF(AND(Data!R67&lt;&gt;"",Data!L67="Accept&amp;#233;"),Data!L67,"")</f>
      </c>
      <c r="C68" s="63">
        <f>IF(D68&lt;&gt;"","S"&amp;TEXT(WEEKNUM(D68),"00"),"")</f>
      </c>
      <c r="D68" s="42">
        <f>IF(AND(Data!Q67&lt;&gt;"",Data!L67="Accept&amp;#233;"),Data!Q67,"")</f>
        <v>25569.041666666668</v>
      </c>
      <c r="E68" s="64">
        <f>IF(AND(Data!R67&lt;&gt;"",Data!L67="Accept&amp;#233;"),Data!R67,"")</f>
      </c>
      <c r="F68" s="65">
        <f>IF(AND(Data!R67&lt;&gt;"",Data!L67="Accept&amp;#233;"),Data!S67,"")</f>
      </c>
      <c r="G68" s="66">
        <f>IF(Data!R67='Delivery Plan'!E68,Data!U67,"")</f>
      </c>
      <c r="H68" s="53"/>
      <c r="I68" s="63">
        <f>IF(J68&lt;&gt;"","S"&amp;TEXT(WEEKNUM(J68),"00"),"")</f>
      </c>
      <c r="J68" s="42">
        <f>IF(AND(E68=Data!R67,Data!AA67&lt;&gt;""),Data!AA67,"")</f>
        <v>25569.041666666668</v>
      </c>
      <c r="K68" s="67">
        <f>IF(AND(E68=Data!R67,Data!AE67&lt;&gt;""),Data!AE67,"")</f>
        <v>25569.041666666668</v>
      </c>
      <c r="L68" s="68">
        <f>IF(E68=Data!R67,Data!AI67,"")</f>
      </c>
      <c r="M68" s="68">
        <f>IF(E68=Data!R67,Data!AJ67,"")</f>
      </c>
      <c r="N68" s="69">
        <f>IF(AND(Data!R67&lt;&gt;"",Data!L67="Accept&amp;#233;"),Data!K67,"")</f>
      </c>
    </row>
    <row x14ac:dyDescent="0.25" r="69" customHeight="1" ht="19.5" hidden="1">
      <c r="A69" s="62">
        <f>IF(AND(Data!R68&lt;&gt;"",Data!L68="Accept&amp;#233;"),Data!G68,"")</f>
      </c>
      <c r="B69" s="62">
        <f>IF(AND(Data!R68&lt;&gt;"",Data!L68="Accept&amp;#233;"),Data!L68,"")</f>
      </c>
      <c r="C69" s="63">
        <f>IF(D69&lt;&gt;"","S"&amp;TEXT(WEEKNUM(D69),"00"),"")</f>
      </c>
      <c r="D69" s="42">
        <f>IF(AND(Data!Q68&lt;&gt;"",Data!L68="Accept&amp;#233;"),Data!Q68,"")</f>
        <v>25569.041666666668</v>
      </c>
      <c r="E69" s="64">
        <f>IF(AND(Data!R68&lt;&gt;"",Data!L68="Accept&amp;#233;"),Data!R68,"")</f>
      </c>
      <c r="F69" s="65">
        <f>IF(AND(Data!R68&lt;&gt;"",Data!L68="Accept&amp;#233;"),Data!S68,"")</f>
      </c>
      <c r="G69" s="66">
        <f>IF(Data!R68='Delivery Plan'!E69,Data!U68,"")</f>
      </c>
      <c r="H69" s="53"/>
      <c r="I69" s="63">
        <f>IF(J69&lt;&gt;"","S"&amp;TEXT(WEEKNUM(J69),"00"),"")</f>
      </c>
      <c r="J69" s="42">
        <f>IF(AND(E69=Data!R68,Data!AA68&lt;&gt;""),Data!AA68,"")</f>
        <v>25569.041666666668</v>
      </c>
      <c r="K69" s="67">
        <f>IF(AND(E69=Data!R68,Data!AE68&lt;&gt;""),Data!AE68,"")</f>
        <v>25569.041666666668</v>
      </c>
      <c r="L69" s="68">
        <f>IF(E69=Data!R68,Data!AI68,"")</f>
      </c>
      <c r="M69" s="68">
        <f>IF(E69=Data!R68,Data!AJ68,"")</f>
      </c>
      <c r="N69" s="69">
        <f>IF(AND(Data!R68&lt;&gt;"",Data!L68="Accept&amp;#233;"),Data!K68,"")</f>
      </c>
    </row>
    <row x14ac:dyDescent="0.25" r="70" customHeight="1" ht="19.5" hidden="1">
      <c r="A70" s="62">
        <f>IF(AND(Data!R69&lt;&gt;"",Data!L69="Accept&amp;#233;"),Data!G69,"")</f>
      </c>
      <c r="B70" s="62">
        <f>IF(AND(Data!R69&lt;&gt;"",Data!L69="Accept&amp;#233;"),Data!L69,"")</f>
      </c>
      <c r="C70" s="63">
        <f>IF(D70&lt;&gt;"","S"&amp;TEXT(WEEKNUM(D70),"00"),"")</f>
      </c>
      <c r="D70" s="42">
        <f>IF(AND(Data!Q69&lt;&gt;"",Data!L69="Accept&amp;#233;"),Data!Q69,"")</f>
        <v>25569.041666666668</v>
      </c>
      <c r="E70" s="64">
        <f>IF(AND(Data!R69&lt;&gt;"",Data!L69="Accept&amp;#233;"),Data!R69,"")</f>
      </c>
      <c r="F70" s="65">
        <f>IF(AND(Data!R69&lt;&gt;"",Data!L69="Accept&amp;#233;"),Data!S69,"")</f>
      </c>
      <c r="G70" s="66">
        <f>IF(Data!R69='Delivery Plan'!E70,Data!U69,"")</f>
      </c>
      <c r="H70" s="53"/>
      <c r="I70" s="63">
        <f>IF(J70&lt;&gt;"","S"&amp;TEXT(WEEKNUM(J70),"00"),"")</f>
      </c>
      <c r="J70" s="42">
        <f>IF(AND(E70=Data!R69,Data!AA69&lt;&gt;""),Data!AA69,"")</f>
        <v>25569.041666666668</v>
      </c>
      <c r="K70" s="67">
        <f>IF(AND(E70=Data!R69,Data!AE69&lt;&gt;""),Data!AE69,"")</f>
        <v>25569.041666666668</v>
      </c>
      <c r="L70" s="68">
        <f>IF(E70=Data!R69,Data!AI69,"")</f>
      </c>
      <c r="M70" s="68">
        <f>IF(E70=Data!R69,Data!AJ69,"")</f>
      </c>
      <c r="N70" s="69">
        <f>IF(AND(Data!R69&lt;&gt;"",Data!L69="Accept&amp;#233;"),Data!K69,"")</f>
      </c>
    </row>
    <row x14ac:dyDescent="0.25" r="71" customHeight="1" ht="19.5">
      <c r="A71" s="62">
        <f>IF(AND(Data!R70&lt;&gt;"",Data!L70="Accept&amp;#233;"),Data!G70,"")</f>
      </c>
      <c r="B71" s="62">
        <f>IF(AND(Data!R70&lt;&gt;"",Data!L70="Accept&amp;#233;"),Data!L70,"")</f>
      </c>
      <c r="C71" s="63">
        <f>IF(D71&lt;&gt;"","S"&amp;TEXT(WEEKNUM(D71),"00"),"")</f>
      </c>
      <c r="D71" s="42">
        <f>IF(AND(Data!Q70&lt;&gt;"",Data!L70="Accept&amp;#233;"),Data!Q70,"")</f>
        <v>25569.041666666668</v>
      </c>
      <c r="E71" s="64">
        <f>IF(AND(Data!R70&lt;&gt;"",Data!L70="Accept&amp;#233;"),Data!R70,"")</f>
      </c>
      <c r="F71" s="65">
        <f>IF(AND(Data!R70&lt;&gt;"",Data!L70="Accept&amp;#233;"),Data!S70,"")</f>
      </c>
      <c r="G71" s="66">
        <f>IF(Data!R70='Delivery Plan'!E71,Data!U70,"")</f>
      </c>
      <c r="H71" s="53"/>
      <c r="I71" s="63">
        <f>IF(J71&lt;&gt;"","S"&amp;TEXT(WEEKNUM(J71),"00"),"")</f>
      </c>
      <c r="J71" s="42">
        <f>IF(AND(E71=Data!R70,Data!AA70&lt;&gt;""),Data!AA70,"")</f>
        <v>25569.041666666668</v>
      </c>
      <c r="K71" s="67">
        <f>IF(AND(E71=Data!R70,Data!AE70&lt;&gt;""),Data!AE70,"")</f>
        <v>25569.041666666668</v>
      </c>
      <c r="L71" s="68">
        <f>IF(E71=Data!R70,Data!AI70,"")</f>
      </c>
      <c r="M71" s="68">
        <f>IF(E71=Data!R70,Data!AJ70,"")</f>
      </c>
      <c r="N71" s="69">
        <f>IF(AND(Data!R70&lt;&gt;"",Data!L70="Accept&amp;#233;"),Data!K70,"")</f>
      </c>
    </row>
    <row x14ac:dyDescent="0.25" r="72" customHeight="1" ht="19.5">
      <c r="A72" s="62">
        <f>IF(AND(Data!R71&lt;&gt;"",Data!L71="Accept&amp;#233;"),Data!G71,"")</f>
      </c>
      <c r="B72" s="62">
        <f>IF(AND(Data!R71&lt;&gt;"",Data!L71="Accept&amp;#233;"),Data!L71,"")</f>
      </c>
      <c r="C72" s="63">
        <f>IF(D72&lt;&gt;"","S"&amp;TEXT(WEEKNUM(D72),"00"),"")</f>
      </c>
      <c r="D72" s="42">
        <f>IF(AND(Data!Q71&lt;&gt;"",Data!L71="Accept&amp;#233;"),Data!Q71,"")</f>
        <v>25569.041666666668</v>
      </c>
      <c r="E72" s="64">
        <f>IF(AND(Data!R71&lt;&gt;"",Data!L71="Accept&amp;#233;"),Data!R71,"")</f>
      </c>
      <c r="F72" s="65">
        <f>IF(AND(Data!R71&lt;&gt;"",Data!L71="Accept&amp;#233;"),Data!S71,"")</f>
      </c>
      <c r="G72" s="66">
        <f>IF(Data!R71='Delivery Plan'!E72,Data!U71,"")</f>
      </c>
      <c r="H72" s="53"/>
      <c r="I72" s="63">
        <f>IF(J72&lt;&gt;"","S"&amp;TEXT(WEEKNUM(J72),"00"),"")</f>
      </c>
      <c r="J72" s="42">
        <f>IF(AND(E72=Data!R71,Data!AA71&lt;&gt;""),Data!AA71,"")</f>
        <v>25569.041666666668</v>
      </c>
      <c r="K72" s="67">
        <f>IF(AND(E72=Data!R71,Data!AE71&lt;&gt;""),Data!AE71,"")</f>
        <v>25569.041666666668</v>
      </c>
      <c r="L72" s="68">
        <f>IF(E72=Data!R71,Data!AI71,"")</f>
      </c>
      <c r="M72" s="68">
        <f>IF(E72=Data!R71,Data!AJ71,"")</f>
      </c>
      <c r="N72" s="69">
        <f>IF(AND(Data!R71&lt;&gt;"",Data!L71="Accept&amp;#233;"),Data!K71,"")</f>
      </c>
    </row>
    <row x14ac:dyDescent="0.25" r="73" customHeight="1" ht="19.5" hidden="1">
      <c r="A73" s="62">
        <f>IF(AND(Data!R72&lt;&gt;"",Data!L72="Accept&amp;#233;"),Data!G72,"")</f>
      </c>
      <c r="B73" s="62">
        <f>IF(AND(Data!R72&lt;&gt;"",Data!L72="Accept&amp;#233;"),Data!L72,"")</f>
      </c>
      <c r="C73" s="63">
        <f>IF(D73&lt;&gt;"","S"&amp;TEXT(WEEKNUM(D73),"00"),"")</f>
      </c>
      <c r="D73" s="42">
        <f>IF(AND(Data!Q72&lt;&gt;"",Data!L72="Accept&amp;#233;"),Data!Q72,"")</f>
        <v>25569.041666666668</v>
      </c>
      <c r="E73" s="64">
        <f>IF(AND(Data!R72&lt;&gt;"",Data!L72="Accept&amp;#233;"),Data!R72,"")</f>
      </c>
      <c r="F73" s="65">
        <f>IF(AND(Data!R72&lt;&gt;"",Data!L72="Accept&amp;#233;"),Data!S72,"")</f>
      </c>
      <c r="G73" s="66">
        <f>IF(Data!R72='Delivery Plan'!E73,Data!U72,"")</f>
      </c>
      <c r="H73" s="53"/>
      <c r="I73" s="63">
        <f>IF(J73&lt;&gt;"","S"&amp;TEXT(WEEKNUM(J73),"00"),"")</f>
      </c>
      <c r="J73" s="42">
        <f>IF(AND(E73=Data!R72,Data!AA72&lt;&gt;""),Data!AA72,"")</f>
        <v>25569.041666666668</v>
      </c>
      <c r="K73" s="67">
        <f>IF(AND(E73=Data!R72,Data!AE72&lt;&gt;""),Data!AE72,"")</f>
        <v>25569.041666666668</v>
      </c>
      <c r="L73" s="68">
        <f>IF(E73=Data!R72,Data!AI72,"")</f>
      </c>
      <c r="M73" s="68">
        <f>IF(E73=Data!R72,Data!AJ72,"")</f>
      </c>
      <c r="N73" s="69">
        <f>IF(AND(Data!R72&lt;&gt;"",Data!L72="Accept&amp;#233;"),Data!K72,"")</f>
      </c>
    </row>
    <row x14ac:dyDescent="0.25" r="74" customHeight="1" ht="19.5" hidden="1">
      <c r="A74" s="62">
        <f>IF(AND(Data!R73&lt;&gt;"",Data!L73="Accept&amp;#233;"),Data!G73,"")</f>
      </c>
      <c r="B74" s="62">
        <f>IF(AND(Data!R73&lt;&gt;"",Data!L73="Accept&amp;#233;"),Data!L73,"")</f>
      </c>
      <c r="C74" s="63">
        <f>IF(D74&lt;&gt;"","S"&amp;TEXT(WEEKNUM(D74),"00"),"")</f>
      </c>
      <c r="D74" s="42">
        <f>IF(AND(Data!Q73&lt;&gt;"",Data!L73="Accept&amp;#233;"),Data!Q73,"")</f>
        <v>25569.041666666668</v>
      </c>
      <c r="E74" s="64">
        <f>IF(AND(Data!R73&lt;&gt;"",Data!L73="Accept&amp;#233;"),Data!R73,"")</f>
      </c>
      <c r="F74" s="65">
        <f>IF(AND(Data!R73&lt;&gt;"",Data!L73="Accept&amp;#233;"),Data!S73,"")</f>
      </c>
      <c r="G74" s="66">
        <f>IF(Data!R73='Delivery Plan'!E74,Data!U73,"")</f>
      </c>
      <c r="H74" s="53"/>
      <c r="I74" s="63">
        <f>IF(J74&lt;&gt;"","S"&amp;TEXT(WEEKNUM(J74),"00"),"")</f>
      </c>
      <c r="J74" s="42">
        <f>IF(AND(E74=Data!R73,Data!AA73&lt;&gt;""),Data!AA73,"")</f>
        <v>25569.041666666668</v>
      </c>
      <c r="K74" s="67">
        <f>IF(AND(E74=Data!R73,Data!AE73&lt;&gt;""),Data!AE73,"")</f>
        <v>25569.041666666668</v>
      </c>
      <c r="L74" s="68">
        <f>IF(E74=Data!R73,Data!AI73,"")</f>
      </c>
      <c r="M74" s="68">
        <f>IF(E74=Data!R73,Data!AJ73,"")</f>
      </c>
      <c r="N74" s="69">
        <f>IF(AND(Data!R73&lt;&gt;"",Data!L73="Accept&amp;#233;"),Data!K73,"")</f>
      </c>
    </row>
    <row x14ac:dyDescent="0.25" r="75" customHeight="1" ht="19.5" hidden="1">
      <c r="A75" s="62">
        <f>IF(AND(Data!R74&lt;&gt;"",Data!L74="Accept&amp;#233;"),Data!G74,"")</f>
      </c>
      <c r="B75" s="62">
        <f>IF(AND(Data!R74&lt;&gt;"",Data!L74="Accept&amp;#233;"),Data!L74,"")</f>
      </c>
      <c r="C75" s="63">
        <f>IF(D75&lt;&gt;"","S"&amp;TEXT(WEEKNUM(D75),"00"),"")</f>
      </c>
      <c r="D75" s="42">
        <f>IF(AND(Data!Q74&lt;&gt;"",Data!L74="Accept&amp;#233;"),Data!Q74,"")</f>
        <v>25569.041666666668</v>
      </c>
      <c r="E75" s="64">
        <f>IF(AND(Data!R74&lt;&gt;"",Data!L74="Accept&amp;#233;"),Data!R74,"")</f>
      </c>
      <c r="F75" s="65">
        <f>IF(AND(Data!R74&lt;&gt;"",Data!L74="Accept&amp;#233;"),Data!S74,"")</f>
      </c>
      <c r="G75" s="66">
        <f>IF(Data!R74='Delivery Plan'!E75,Data!U74,"")</f>
      </c>
      <c r="H75" s="53"/>
      <c r="I75" s="63">
        <f>IF(J75&lt;&gt;"","S"&amp;TEXT(WEEKNUM(J75),"00"),"")</f>
      </c>
      <c r="J75" s="42">
        <f>IF(AND(E75=Data!R74,Data!AA74&lt;&gt;""),Data!AA74,"")</f>
        <v>25569.041666666668</v>
      </c>
      <c r="K75" s="67">
        <f>IF(AND(E75=Data!R74,Data!AE74&lt;&gt;""),Data!AE74,"")</f>
        <v>25569.041666666668</v>
      </c>
      <c r="L75" s="68">
        <f>IF(E75=Data!R74,Data!AI74,"")</f>
      </c>
      <c r="M75" s="68">
        <f>IF(E75=Data!R74,Data!AJ74,"")</f>
      </c>
      <c r="N75" s="69">
        <f>IF(AND(Data!R74&lt;&gt;"",Data!L74="Accept&amp;#233;"),Data!K74,"")</f>
      </c>
    </row>
    <row x14ac:dyDescent="0.25" r="76" customHeight="1" ht="19.5">
      <c r="A76" s="62">
        <f>IF(AND(Data!R75&lt;&gt;"",Data!L75="Accept&amp;#233;"),Data!G75,"")</f>
      </c>
      <c r="B76" s="62">
        <f>IF(AND(Data!R75&lt;&gt;"",Data!L75="Accept&amp;#233;"),Data!L75,"")</f>
      </c>
      <c r="C76" s="63">
        <f>IF(D76&lt;&gt;"","S"&amp;TEXT(WEEKNUM(D76),"00"),"")</f>
      </c>
      <c r="D76" s="42">
        <f>IF(AND(Data!Q75&lt;&gt;"",Data!L75="Accept&amp;#233;"),Data!Q75,"")</f>
        <v>25569.041666666668</v>
      </c>
      <c r="E76" s="64">
        <f>IF(AND(Data!R75&lt;&gt;"",Data!L75="Accept&amp;#233;"),Data!R75,"")</f>
      </c>
      <c r="F76" s="65">
        <f>IF(AND(Data!R75&lt;&gt;"",Data!L75="Accept&amp;#233;"),Data!S75,"")</f>
      </c>
      <c r="G76" s="66">
        <f>IF(Data!R75='Delivery Plan'!E76,Data!U75,"")</f>
      </c>
      <c r="H76" s="53"/>
      <c r="I76" s="63">
        <f>IF(J76&lt;&gt;"","S"&amp;TEXT(WEEKNUM(J76),"00"),"")</f>
      </c>
      <c r="J76" s="42">
        <f>IF(AND(E76=Data!R75,Data!AA75&lt;&gt;""),Data!AA75,"")</f>
        <v>25569.041666666668</v>
      </c>
      <c r="K76" s="67">
        <f>IF(AND(E76=Data!R75,Data!AE75&lt;&gt;""),Data!AE75,"")</f>
        <v>25569.041666666668</v>
      </c>
      <c r="L76" s="68">
        <f>IF(E76=Data!R75,Data!AI75,"")</f>
      </c>
      <c r="M76" s="68">
        <f>IF(E76=Data!R75,Data!AJ75,"")</f>
      </c>
      <c r="N76" s="69">
        <f>IF(AND(Data!R75&lt;&gt;"",Data!L75="Accept&amp;#233;"),Data!K75,"")</f>
      </c>
    </row>
    <row x14ac:dyDescent="0.25" r="77" customHeight="1" ht="19.5" hidden="1">
      <c r="A77" s="62">
        <f>IF(AND(Data!R76&lt;&gt;"",Data!L76="Accept&amp;#233;"),Data!G76,"")</f>
      </c>
      <c r="B77" s="62">
        <f>IF(AND(Data!R76&lt;&gt;"",Data!L76="Accept&amp;#233;"),Data!L76,"")</f>
      </c>
      <c r="C77" s="63">
        <f>IF(D77&lt;&gt;"","S"&amp;TEXT(WEEKNUM(D77),"00"),"")</f>
      </c>
      <c r="D77" s="42">
        <f>IF(AND(Data!Q76&lt;&gt;"",Data!L76="Accept&amp;#233;"),Data!Q76,"")</f>
        <v>25569.041666666668</v>
      </c>
      <c r="E77" s="64">
        <f>IF(AND(Data!R76&lt;&gt;"",Data!L76="Accept&amp;#233;"),Data!R76,"")</f>
      </c>
      <c r="F77" s="65">
        <f>IF(AND(Data!R76&lt;&gt;"",Data!L76="Accept&amp;#233;"),Data!S76,"")</f>
      </c>
      <c r="G77" s="66">
        <f>IF(Data!R76='Delivery Plan'!E77,Data!U76,"")</f>
      </c>
      <c r="H77" s="53"/>
      <c r="I77" s="63">
        <f>IF(J77&lt;&gt;"","S"&amp;TEXT(WEEKNUM(J77),"00"),"")</f>
      </c>
      <c r="J77" s="42">
        <f>IF(AND(E77=Data!R76,Data!AA76&lt;&gt;""),Data!AA76,"")</f>
        <v>25569.041666666668</v>
      </c>
      <c r="K77" s="67">
        <f>IF(AND(E77=Data!R76,Data!AE76&lt;&gt;""),Data!AE76,"")</f>
        <v>25569.041666666668</v>
      </c>
      <c r="L77" s="68">
        <f>IF(E77=Data!R76,Data!AI76,"")</f>
      </c>
      <c r="M77" s="68">
        <f>IF(E77=Data!R76,Data!AJ76,"")</f>
      </c>
      <c r="N77" s="69">
        <f>IF(AND(Data!R76&lt;&gt;"",Data!L76="Accept&amp;#233;"),Data!K76,"")</f>
      </c>
    </row>
    <row x14ac:dyDescent="0.25" r="78" customHeight="1" ht="19.5" hidden="1">
      <c r="A78" s="62">
        <f>IF(AND(Data!R77&lt;&gt;"",Data!L77="Accept&amp;#233;"),Data!G77,"")</f>
      </c>
      <c r="B78" s="62">
        <f>IF(AND(Data!R77&lt;&gt;"",Data!L77="Accept&amp;#233;"),Data!L77,"")</f>
      </c>
      <c r="C78" s="63">
        <f>IF(D78&lt;&gt;"","S"&amp;TEXT(WEEKNUM(D78),"00"),"")</f>
      </c>
      <c r="D78" s="42">
        <f>IF(AND(Data!Q77&lt;&gt;"",Data!L77="Accept&amp;#233;"),Data!Q77,"")</f>
        <v>25569.041666666668</v>
      </c>
      <c r="E78" s="64">
        <f>IF(AND(Data!R77&lt;&gt;"",Data!L77="Accept&amp;#233;"),Data!R77,"")</f>
      </c>
      <c r="F78" s="65">
        <f>IF(AND(Data!R77&lt;&gt;"",Data!L77="Accept&amp;#233;"),Data!S77,"")</f>
      </c>
      <c r="G78" s="66">
        <f>IF(Data!R77='Delivery Plan'!E78,Data!U77,"")</f>
      </c>
      <c r="H78" s="53"/>
      <c r="I78" s="63">
        <f>IF(J78&lt;&gt;"","S"&amp;TEXT(WEEKNUM(J78),"00"),"")</f>
      </c>
      <c r="J78" s="42">
        <f>IF(AND(E78=Data!R77,Data!AA77&lt;&gt;""),Data!AA77,"")</f>
        <v>25569.041666666668</v>
      </c>
      <c r="K78" s="67">
        <f>IF(AND(E78=Data!R77,Data!AE77&lt;&gt;""),Data!AE77,"")</f>
        <v>25569.041666666668</v>
      </c>
      <c r="L78" s="68">
        <f>IF(E78=Data!R77,Data!AI77,"")</f>
      </c>
      <c r="M78" s="68">
        <f>IF(E78=Data!R77,Data!AJ77,"")</f>
      </c>
      <c r="N78" s="69">
        <f>IF(AND(Data!R77&lt;&gt;"",Data!L77="Accept&amp;#233;"),Data!K77,"")</f>
      </c>
    </row>
    <row x14ac:dyDescent="0.25" r="79" customHeight="1" ht="19.5" hidden="1">
      <c r="A79" s="62">
        <f>IF(AND(Data!R78&lt;&gt;"",Data!L78="Accept&amp;#233;"),Data!G78,"")</f>
      </c>
      <c r="B79" s="62">
        <f>IF(AND(Data!R78&lt;&gt;"",Data!L78="Accept&amp;#233;"),Data!L78,"")</f>
      </c>
      <c r="C79" s="63">
        <f>IF(D79&lt;&gt;"","S"&amp;TEXT(WEEKNUM(D79),"00"),"")</f>
      </c>
      <c r="D79" s="42">
        <f>IF(AND(Data!Q78&lt;&gt;"",Data!L78="Accept&amp;#233;"),Data!Q78,"")</f>
        <v>25569.041666666668</v>
      </c>
      <c r="E79" s="64">
        <f>IF(AND(Data!R78&lt;&gt;"",Data!L78="Accept&amp;#233;"),Data!R78,"")</f>
      </c>
      <c r="F79" s="65">
        <f>IF(AND(Data!R78&lt;&gt;"",Data!L78="Accept&amp;#233;"),Data!S78,"")</f>
      </c>
      <c r="G79" s="66">
        <f>IF(Data!R78='Delivery Plan'!E79,Data!U78,"")</f>
      </c>
      <c r="H79" s="53"/>
      <c r="I79" s="63">
        <f>IF(J79&lt;&gt;"","S"&amp;TEXT(WEEKNUM(J79),"00"),"")</f>
      </c>
      <c r="J79" s="42">
        <f>IF(AND(E79=Data!R78,Data!AA78&lt;&gt;""),Data!AA78,"")</f>
        <v>25569.041666666668</v>
      </c>
      <c r="K79" s="67">
        <f>IF(AND(E79=Data!R78,Data!AE78&lt;&gt;""),Data!AE78,"")</f>
        <v>25569.041666666668</v>
      </c>
      <c r="L79" s="68">
        <f>IF(E79=Data!R78,Data!AI78,"")</f>
      </c>
      <c r="M79" s="68">
        <f>IF(E79=Data!R78,Data!AJ78,"")</f>
      </c>
      <c r="N79" s="69">
        <f>IF(AND(Data!R78&lt;&gt;"",Data!L78="Accept&amp;#233;"),Data!K78,"")</f>
      </c>
    </row>
    <row x14ac:dyDescent="0.25" r="80" customHeight="1" ht="19.5">
      <c r="A80" s="62">
        <f>IF(AND(Data!R79&lt;&gt;"",Data!L79="Accept&amp;#233;"),Data!G79,"")</f>
      </c>
      <c r="B80" s="62">
        <f>IF(AND(Data!R79&lt;&gt;"",Data!L79="Accept&amp;#233;"),Data!L79,"")</f>
      </c>
      <c r="C80" s="63">
        <f>IF(D80&lt;&gt;"","S"&amp;TEXT(WEEKNUM(D80),"00"),"")</f>
      </c>
      <c r="D80" s="42">
        <f>IF(AND(Data!Q79&lt;&gt;"",Data!L79="Accept&amp;#233;"),Data!Q79,"")</f>
        <v>25569.041666666668</v>
      </c>
      <c r="E80" s="64">
        <f>IF(AND(Data!R79&lt;&gt;"",Data!L79="Accept&amp;#233;"),Data!R79,"")</f>
      </c>
      <c r="F80" s="65">
        <f>IF(AND(Data!R79&lt;&gt;"",Data!L79="Accept&amp;#233;"),Data!S79,"")</f>
      </c>
      <c r="G80" s="66">
        <f>IF(Data!R79='Delivery Plan'!E80,Data!U79,"")</f>
      </c>
      <c r="H80" s="53"/>
      <c r="I80" s="63">
        <f>IF(J80&lt;&gt;"","S"&amp;TEXT(WEEKNUM(J80),"00"),"")</f>
      </c>
      <c r="J80" s="42">
        <f>IF(AND(E80=Data!R79,Data!AA79&lt;&gt;""),Data!AA79,"")</f>
        <v>25569.041666666668</v>
      </c>
      <c r="K80" s="67">
        <f>IF(AND(E80=Data!R79,Data!AE79&lt;&gt;""),Data!AE79,"")</f>
        <v>25569.041666666668</v>
      </c>
      <c r="L80" s="68">
        <f>IF(E80=Data!R79,Data!AI79,"")</f>
      </c>
      <c r="M80" s="68">
        <f>IF(E80=Data!R79,Data!AJ79,"")</f>
      </c>
      <c r="N80" s="69">
        <f>IF(AND(Data!R79&lt;&gt;"",Data!L79="Accept&amp;#233;"),Data!K79,"")</f>
      </c>
    </row>
    <row x14ac:dyDescent="0.25" r="81" customHeight="1" ht="19.5" hidden="1">
      <c r="A81" s="62">
        <f>IF(AND(Data!R80&lt;&gt;"",Data!L80="Accept&amp;#233;"),Data!G80,"")</f>
      </c>
      <c r="B81" s="62">
        <f>IF(AND(Data!R80&lt;&gt;"",Data!L80="Accept&amp;#233;"),Data!L80,"")</f>
      </c>
      <c r="C81" s="63">
        <f>IF(D81&lt;&gt;"","S"&amp;TEXT(WEEKNUM(D81),"00"),"")</f>
      </c>
      <c r="D81" s="42">
        <f>IF(AND(Data!Q80&lt;&gt;"",Data!L80="Accept&amp;#233;"),Data!Q80,"")</f>
        <v>25569.041666666668</v>
      </c>
      <c r="E81" s="64">
        <f>IF(AND(Data!R80&lt;&gt;"",Data!L80="Accept&amp;#233;"),Data!R80,"")</f>
      </c>
      <c r="F81" s="65">
        <f>IF(AND(Data!R80&lt;&gt;"",Data!L80="Accept&amp;#233;"),Data!S80,"")</f>
      </c>
      <c r="G81" s="66">
        <f>IF(Data!R80='Delivery Plan'!E81,Data!U80,"")</f>
      </c>
      <c r="H81" s="53"/>
      <c r="I81" s="63">
        <f>IF(J81&lt;&gt;"","S"&amp;TEXT(WEEKNUM(J81),"00"),"")</f>
      </c>
      <c r="J81" s="42">
        <f>IF(AND(E81=Data!R80,Data!AA80&lt;&gt;""),Data!AA80,"")</f>
        <v>25569.041666666668</v>
      </c>
      <c r="K81" s="67">
        <f>IF(AND(E81=Data!R80,Data!AE80&lt;&gt;""),Data!AE80,"")</f>
        <v>25569.041666666668</v>
      </c>
      <c r="L81" s="68">
        <f>IF(E81=Data!R80,Data!AI80,"")</f>
      </c>
      <c r="M81" s="68">
        <f>IF(E81=Data!R80,Data!AJ80,"")</f>
      </c>
      <c r="N81" s="69">
        <f>IF(AND(Data!R80&lt;&gt;"",Data!L80="Accept&amp;#233;"),Data!K80,"")</f>
      </c>
    </row>
    <row x14ac:dyDescent="0.25" r="82" customHeight="1" ht="19.5" hidden="1">
      <c r="A82" s="62">
        <f>IF(AND(Data!R81&lt;&gt;"",Data!L81="Accept&amp;#233;"),Data!G81,"")</f>
      </c>
      <c r="B82" s="62">
        <f>IF(AND(Data!R81&lt;&gt;"",Data!L81="Accept&amp;#233;"),Data!L81,"")</f>
      </c>
      <c r="C82" s="63">
        <f>IF(D82&lt;&gt;"","S"&amp;TEXT(WEEKNUM(D82),"00"),"")</f>
      </c>
      <c r="D82" s="42">
        <f>IF(AND(Data!Q81&lt;&gt;"",Data!L81="Accept&amp;#233;"),Data!Q81,"")</f>
        <v>25569.041666666668</v>
      </c>
      <c r="E82" s="64">
        <f>IF(AND(Data!R81&lt;&gt;"",Data!L81="Accept&amp;#233;"),Data!R81,"")</f>
      </c>
      <c r="F82" s="65">
        <f>IF(AND(Data!R81&lt;&gt;"",Data!L81="Accept&amp;#233;"),Data!S81,"")</f>
      </c>
      <c r="G82" s="66">
        <f>IF(Data!R81='Delivery Plan'!E82,Data!U81,"")</f>
      </c>
      <c r="H82" s="53"/>
      <c r="I82" s="63">
        <f>IF(J82&lt;&gt;"","S"&amp;TEXT(WEEKNUM(J82),"00"),"")</f>
      </c>
      <c r="J82" s="42">
        <f>IF(AND(E82=Data!R81,Data!AA81&lt;&gt;""),Data!AA81,"")</f>
        <v>25569.041666666668</v>
      </c>
      <c r="K82" s="67">
        <f>IF(AND(E82=Data!R81,Data!AE81&lt;&gt;""),Data!AE81,"")</f>
        <v>25569.041666666668</v>
      </c>
      <c r="L82" s="68">
        <f>IF(E82=Data!R81,Data!AI81,"")</f>
      </c>
      <c r="M82" s="68">
        <f>IF(E82=Data!R81,Data!AJ81,"")</f>
      </c>
      <c r="N82" s="69">
        <f>IF(AND(Data!R81&lt;&gt;"",Data!L81="Accept&amp;#233;"),Data!K81,"")</f>
      </c>
    </row>
    <row x14ac:dyDescent="0.25" r="83" customHeight="1" ht="19.5" hidden="1">
      <c r="A83" s="62">
        <f>IF(AND(Data!R82&lt;&gt;"",Data!L82="Accept&amp;#233;"),Data!G82,"")</f>
      </c>
      <c r="B83" s="62">
        <f>IF(AND(Data!R82&lt;&gt;"",Data!L82="Accept&amp;#233;"),Data!L82,"")</f>
      </c>
      <c r="C83" s="63">
        <f>IF(D83&lt;&gt;"","S"&amp;TEXT(WEEKNUM(D83),"00"),"")</f>
      </c>
      <c r="D83" s="42">
        <f>IF(AND(Data!Q82&lt;&gt;"",Data!L82="Accept&amp;#233;"),Data!Q82,"")</f>
        <v>25569.041666666668</v>
      </c>
      <c r="E83" s="64">
        <f>IF(AND(Data!R82&lt;&gt;"",Data!L82="Accept&amp;#233;"),Data!R82,"")</f>
      </c>
      <c r="F83" s="65">
        <f>IF(AND(Data!R82&lt;&gt;"",Data!L82="Accept&amp;#233;"),Data!S82,"")</f>
      </c>
      <c r="G83" s="66">
        <f>IF(Data!R82='Delivery Plan'!E83,Data!U82,"")</f>
      </c>
      <c r="H83" s="53"/>
      <c r="I83" s="63">
        <f>IF(J83&lt;&gt;"","S"&amp;TEXT(WEEKNUM(J83),"00"),"")</f>
      </c>
      <c r="J83" s="42">
        <f>IF(AND(E83=Data!R82,Data!AA82&lt;&gt;""),Data!AA82,"")</f>
        <v>25569.041666666668</v>
      </c>
      <c r="K83" s="67">
        <f>IF(AND(E83=Data!R82,Data!AE82&lt;&gt;""),Data!AE82,"")</f>
        <v>25569.041666666668</v>
      </c>
      <c r="L83" s="68">
        <f>IF(E83=Data!R82,Data!AI82,"")</f>
      </c>
      <c r="M83" s="68">
        <f>IF(E83=Data!R82,Data!AJ82,"")</f>
      </c>
      <c r="N83" s="69">
        <f>IF(AND(Data!R82&lt;&gt;"",Data!L82="Accept&amp;#233;"),Data!K82,"")</f>
      </c>
    </row>
    <row x14ac:dyDescent="0.25" r="84" customHeight="1" ht="19.5" hidden="1">
      <c r="A84" s="62">
        <f>IF(AND(Data!R83&lt;&gt;"",Data!L83="Accept&amp;#233;"),Data!G83,"")</f>
      </c>
      <c r="B84" s="62">
        <f>IF(AND(Data!R83&lt;&gt;"",Data!L83="Accept&amp;#233;"),Data!L83,"")</f>
      </c>
      <c r="C84" s="63">
        <f>IF(D84&lt;&gt;"","S"&amp;TEXT(WEEKNUM(D84),"00"),"")</f>
      </c>
      <c r="D84" s="42">
        <f>IF(AND(Data!Q83&lt;&gt;"",Data!L83="Accept&amp;#233;"),Data!Q83,"")</f>
        <v>25569.041666666668</v>
      </c>
      <c r="E84" s="64">
        <f>IF(AND(Data!R83&lt;&gt;"",Data!L83="Accept&amp;#233;"),Data!R83,"")</f>
      </c>
      <c r="F84" s="65">
        <f>IF(AND(Data!R83&lt;&gt;"",Data!L83="Accept&amp;#233;"),Data!S83,"")</f>
      </c>
      <c r="G84" s="66">
        <f>IF(Data!R83='Delivery Plan'!E84,Data!U83,"")</f>
      </c>
      <c r="H84" s="53"/>
      <c r="I84" s="63">
        <f>IF(J84&lt;&gt;"","S"&amp;TEXT(WEEKNUM(J84),"00"),"")</f>
      </c>
      <c r="J84" s="42">
        <f>IF(AND(E84=Data!R83,Data!AA83&lt;&gt;""),Data!AA83,"")</f>
        <v>25569.041666666668</v>
      </c>
      <c r="K84" s="67">
        <f>IF(AND(E84=Data!R83,Data!AE83&lt;&gt;""),Data!AE83,"")</f>
        <v>25569.041666666668</v>
      </c>
      <c r="L84" s="68">
        <f>IF(E84=Data!R83,Data!AI83,"")</f>
      </c>
      <c r="M84" s="68">
        <f>IF(E84=Data!R83,Data!AJ83,"")</f>
      </c>
      <c r="N84" s="69">
        <f>IF(AND(Data!R83&lt;&gt;"",Data!L83="Accept&amp;#233;"),Data!K83,"")</f>
      </c>
    </row>
    <row x14ac:dyDescent="0.25" r="85" customHeight="1" ht="19.5" hidden="1">
      <c r="A85" s="62">
        <f>IF(AND(Data!R84&lt;&gt;"",Data!L84="Accept&amp;#233;"),Data!G84,"")</f>
      </c>
      <c r="B85" s="62">
        <f>IF(AND(Data!R84&lt;&gt;"",Data!L84="Accept&amp;#233;"),Data!L84,"")</f>
      </c>
      <c r="C85" s="63">
        <f>IF(D85&lt;&gt;"","S"&amp;TEXT(WEEKNUM(D85),"00"),"")</f>
      </c>
      <c r="D85" s="42">
        <f>IF(AND(Data!Q84&lt;&gt;"",Data!L84="Accept&amp;#233;"),Data!Q84,"")</f>
        <v>25569.041666666668</v>
      </c>
      <c r="E85" s="64">
        <f>IF(AND(Data!R84&lt;&gt;"",Data!L84="Accept&amp;#233;"),Data!R84,"")</f>
      </c>
      <c r="F85" s="65">
        <f>IF(AND(Data!R84&lt;&gt;"",Data!L84="Accept&amp;#233;"),Data!S84,"")</f>
      </c>
      <c r="G85" s="66">
        <f>IF(Data!R84='Delivery Plan'!E85,Data!U84,"")</f>
      </c>
      <c r="H85" s="53"/>
      <c r="I85" s="63">
        <f>IF(J85&lt;&gt;"","S"&amp;TEXT(WEEKNUM(J85),"00"),"")</f>
      </c>
      <c r="J85" s="42">
        <f>IF(AND(E85=Data!R84,Data!AA84&lt;&gt;""),Data!AA84,"")</f>
        <v>25569.041666666668</v>
      </c>
      <c r="K85" s="67">
        <f>IF(AND(E85=Data!R84,Data!AE84&lt;&gt;""),Data!AE84,"")</f>
        <v>25569.041666666668</v>
      </c>
      <c r="L85" s="68">
        <f>IF(E85=Data!R84,Data!AI84,"")</f>
      </c>
      <c r="M85" s="68">
        <f>IF(E85=Data!R84,Data!AJ84,"")</f>
      </c>
      <c r="N85" s="69">
        <f>IF(AND(Data!R84&lt;&gt;"",Data!L84="Accept&amp;#233;"),Data!K84,"")</f>
      </c>
    </row>
    <row x14ac:dyDescent="0.25" r="86" customHeight="1" ht="19.5" hidden="1">
      <c r="A86" s="62">
        <f>IF(AND(Data!R85&lt;&gt;"",Data!L85="Accept&amp;#233;"),Data!G85,"")</f>
      </c>
      <c r="B86" s="62">
        <f>IF(AND(Data!R85&lt;&gt;"",Data!L85="Accept&amp;#233;"),Data!L85,"")</f>
      </c>
      <c r="C86" s="63">
        <f>IF(D86&lt;&gt;"","S"&amp;TEXT(WEEKNUM(D86),"00"),"")</f>
      </c>
      <c r="D86" s="42">
        <f>IF(AND(Data!Q85&lt;&gt;"",Data!L85="Accept&amp;#233;"),Data!Q85,"")</f>
        <v>25569.041666666668</v>
      </c>
      <c r="E86" s="64">
        <f>IF(AND(Data!R85&lt;&gt;"",Data!L85="Accept&amp;#233;"),Data!R85,"")</f>
      </c>
      <c r="F86" s="65">
        <f>IF(AND(Data!R85&lt;&gt;"",Data!L85="Accept&amp;#233;"),Data!S85,"")</f>
      </c>
      <c r="G86" s="66">
        <f>IF(Data!R85='Delivery Plan'!E86,Data!U85,"")</f>
      </c>
      <c r="H86" s="53"/>
      <c r="I86" s="63">
        <f>IF(J86&lt;&gt;"","S"&amp;TEXT(WEEKNUM(J86),"00"),"")</f>
      </c>
      <c r="J86" s="42">
        <f>IF(AND(E86=Data!R85,Data!AA85&lt;&gt;""),Data!AA85,"")</f>
        <v>25569.041666666668</v>
      </c>
      <c r="K86" s="67">
        <f>IF(AND(E86=Data!R85,Data!AE85&lt;&gt;""),Data!AE85,"")</f>
        <v>25569.041666666668</v>
      </c>
      <c r="L86" s="68">
        <f>IF(E86=Data!R85,Data!AI85,"")</f>
      </c>
      <c r="M86" s="68">
        <f>IF(E86=Data!R85,Data!AJ85,"")</f>
      </c>
      <c r="N86" s="69">
        <f>IF(AND(Data!R85&lt;&gt;"",Data!L85="Accept&amp;#233;"),Data!K85,"")</f>
      </c>
    </row>
    <row x14ac:dyDescent="0.25" r="87" customHeight="1" ht="19.5" hidden="1">
      <c r="A87" s="62">
        <f>IF(AND(Data!R86&lt;&gt;"",Data!L86="Accept&amp;#233;"),Data!G86,"")</f>
      </c>
      <c r="B87" s="62">
        <f>IF(AND(Data!R86&lt;&gt;"",Data!L86="Accept&amp;#233;"),Data!L86,"")</f>
      </c>
      <c r="C87" s="63">
        <f>IF(D87&lt;&gt;"","S"&amp;TEXT(WEEKNUM(D87),"00"),"")</f>
      </c>
      <c r="D87" s="42">
        <f>IF(AND(Data!Q86&lt;&gt;"",Data!L86="Accept&amp;#233;"),Data!Q86,"")</f>
        <v>25569.041666666668</v>
      </c>
      <c r="E87" s="64">
        <f>IF(AND(Data!R86&lt;&gt;"",Data!L86="Accept&amp;#233;"),Data!R86,"")</f>
      </c>
      <c r="F87" s="65">
        <f>IF(AND(Data!R86&lt;&gt;"",Data!L86="Accept&amp;#233;"),Data!S86,"")</f>
      </c>
      <c r="G87" s="66">
        <f>IF(Data!R86='Delivery Plan'!E87,Data!U86,"")</f>
      </c>
      <c r="H87" s="53"/>
      <c r="I87" s="63">
        <f>IF(J87&lt;&gt;"","S"&amp;TEXT(WEEKNUM(J87),"00"),"")</f>
      </c>
      <c r="J87" s="42">
        <f>IF(AND(E87=Data!R86,Data!AA86&lt;&gt;""),Data!AA86,"")</f>
        <v>25569.041666666668</v>
      </c>
      <c r="K87" s="67">
        <f>IF(AND(E87=Data!R86,Data!AE86&lt;&gt;""),Data!AE86,"")</f>
        <v>25569.041666666668</v>
      </c>
      <c r="L87" s="68">
        <f>IF(E87=Data!R86,Data!AI86,"")</f>
      </c>
      <c r="M87" s="68">
        <f>IF(E87=Data!R86,Data!AJ86,"")</f>
      </c>
      <c r="N87" s="69">
        <f>IF(AND(Data!R86&lt;&gt;"",Data!L86="Accept&amp;#233;"),Data!K86,"")</f>
      </c>
    </row>
    <row x14ac:dyDescent="0.25" r="88" customHeight="1" ht="19.5" hidden="1">
      <c r="A88" s="62">
        <f>IF(AND(Data!R87&lt;&gt;"",Data!L87="Accept&amp;#233;"),Data!G87,"")</f>
      </c>
      <c r="B88" s="62">
        <f>IF(AND(Data!R87&lt;&gt;"",Data!L87="Accept&amp;#233;"),Data!L87,"")</f>
      </c>
      <c r="C88" s="63">
        <f>IF(D88&lt;&gt;"","S"&amp;TEXT(WEEKNUM(D88),"00"),"")</f>
      </c>
      <c r="D88" s="42">
        <f>IF(AND(Data!Q87&lt;&gt;"",Data!L87="Accept&amp;#233;"),Data!Q87,"")</f>
        <v>25569.041666666668</v>
      </c>
      <c r="E88" s="64">
        <f>IF(AND(Data!R87&lt;&gt;"",Data!L87="Accept&amp;#233;"),Data!R87,"")</f>
      </c>
      <c r="F88" s="65">
        <f>IF(AND(Data!R87&lt;&gt;"",Data!L87="Accept&amp;#233;"),Data!S87,"")</f>
      </c>
      <c r="G88" s="66">
        <f>IF(Data!R87='Delivery Plan'!E88,Data!U87,"")</f>
      </c>
      <c r="H88" s="53"/>
      <c r="I88" s="63">
        <f>IF(J88&lt;&gt;"","S"&amp;TEXT(WEEKNUM(J88),"00"),"")</f>
      </c>
      <c r="J88" s="42">
        <f>IF(AND(E88=Data!R87,Data!AA87&lt;&gt;""),Data!AA87,"")</f>
        <v>25569.041666666668</v>
      </c>
      <c r="K88" s="67">
        <f>IF(AND(E88=Data!R87,Data!AE87&lt;&gt;""),Data!AE87,"")</f>
        <v>25569.041666666668</v>
      </c>
      <c r="L88" s="68">
        <f>IF(E88=Data!R87,Data!AI87,"")</f>
      </c>
      <c r="M88" s="68">
        <f>IF(E88=Data!R87,Data!AJ87,"")</f>
      </c>
      <c r="N88" s="69">
        <f>IF(AND(Data!R87&lt;&gt;"",Data!L87="Accept&amp;#233;"),Data!K87,"")</f>
      </c>
    </row>
    <row x14ac:dyDescent="0.25" r="89" customHeight="1" ht="19.5" hidden="1">
      <c r="A89" s="62">
        <f>IF(AND(Data!R88&lt;&gt;"",Data!L88="Accept&amp;#233;"),Data!G88,"")</f>
      </c>
      <c r="B89" s="62">
        <f>IF(AND(Data!R88&lt;&gt;"",Data!L88="Accept&amp;#233;"),Data!L88,"")</f>
      </c>
      <c r="C89" s="63">
        <f>IF(D89&lt;&gt;"","S"&amp;TEXT(WEEKNUM(D89),"00"),"")</f>
      </c>
      <c r="D89" s="42">
        <f>IF(AND(Data!Q88&lt;&gt;"",Data!L88="Accept&amp;#233;"),Data!Q88,"")</f>
        <v>25569.041666666668</v>
      </c>
      <c r="E89" s="64">
        <f>IF(AND(Data!R88&lt;&gt;"",Data!L88="Accept&amp;#233;"),Data!R88,"")</f>
      </c>
      <c r="F89" s="65">
        <f>IF(AND(Data!R88&lt;&gt;"",Data!L88="Accept&amp;#233;"),Data!S88,"")</f>
      </c>
      <c r="G89" s="66">
        <f>IF(Data!R88='Delivery Plan'!E89,Data!U88,"")</f>
      </c>
      <c r="H89" s="53"/>
      <c r="I89" s="63">
        <f>IF(J89&lt;&gt;"","S"&amp;TEXT(WEEKNUM(J89),"00"),"")</f>
      </c>
      <c r="J89" s="42">
        <f>IF(AND(E89=Data!R88,Data!AA88&lt;&gt;""),Data!AA88,"")</f>
        <v>25569.041666666668</v>
      </c>
      <c r="K89" s="67">
        <f>IF(AND(E89=Data!R88,Data!AE88&lt;&gt;""),Data!AE88,"")</f>
        <v>25569.041666666668</v>
      </c>
      <c r="L89" s="68">
        <f>IF(E89=Data!R88,Data!AI88,"")</f>
      </c>
      <c r="M89" s="68">
        <f>IF(E89=Data!R88,Data!AJ88,"")</f>
      </c>
      <c r="N89" s="69">
        <f>IF(AND(Data!R88&lt;&gt;"",Data!L88="Accept&amp;#233;"),Data!K88,"")</f>
      </c>
    </row>
    <row x14ac:dyDescent="0.25" r="90" customHeight="1" ht="19.5" hidden="1">
      <c r="A90" s="62">
        <f>IF(AND(Data!R89&lt;&gt;"",Data!L89="Accept&amp;#233;"),Data!G89,"")</f>
      </c>
      <c r="B90" s="62">
        <f>IF(AND(Data!R89&lt;&gt;"",Data!L89="Accept&amp;#233;"),Data!L89,"")</f>
      </c>
      <c r="C90" s="63">
        <f>IF(D90&lt;&gt;"","S"&amp;TEXT(WEEKNUM(D90),"00"),"")</f>
      </c>
      <c r="D90" s="42">
        <f>IF(AND(Data!Q89&lt;&gt;"",Data!L89="Accept&amp;#233;"),Data!Q89,"")</f>
        <v>25569.041666666668</v>
      </c>
      <c r="E90" s="64">
        <f>IF(AND(Data!R89&lt;&gt;"",Data!L89="Accept&amp;#233;"),Data!R89,"")</f>
      </c>
      <c r="F90" s="65">
        <f>IF(AND(Data!R89&lt;&gt;"",Data!L89="Accept&amp;#233;"),Data!S89,"")</f>
      </c>
      <c r="G90" s="66">
        <f>IF(Data!R89='Delivery Plan'!E90,Data!U89,"")</f>
      </c>
      <c r="H90" s="53"/>
      <c r="I90" s="63">
        <f>IF(J90&lt;&gt;"","S"&amp;TEXT(WEEKNUM(J90),"00"),"")</f>
      </c>
      <c r="J90" s="42">
        <f>IF(AND(E90=Data!R89,Data!AA89&lt;&gt;""),Data!AA89,"")</f>
        <v>25569.041666666668</v>
      </c>
      <c r="K90" s="67">
        <f>IF(AND(E90=Data!R89,Data!AE89&lt;&gt;""),Data!AE89,"")</f>
        <v>25569.041666666668</v>
      </c>
      <c r="L90" s="68">
        <f>IF(E90=Data!R89,Data!AI89,"")</f>
      </c>
      <c r="M90" s="68">
        <f>IF(E90=Data!R89,Data!AJ89,"")</f>
      </c>
      <c r="N90" s="69">
        <f>IF(AND(Data!R89&lt;&gt;"",Data!L89="Accept&amp;#233;"),Data!K89,"")</f>
      </c>
    </row>
    <row x14ac:dyDescent="0.25" r="91" customHeight="1" ht="19.5" hidden="1">
      <c r="A91" s="62">
        <f>IF(AND(Data!R90&lt;&gt;"",Data!L90="Accept&amp;#233;"),Data!G90,"")</f>
      </c>
      <c r="B91" s="62">
        <f>IF(AND(Data!R90&lt;&gt;"",Data!L90="Accept&amp;#233;"),Data!L90,"")</f>
      </c>
      <c r="C91" s="63">
        <f>IF(D91&lt;&gt;"","S"&amp;TEXT(WEEKNUM(D91),"00"),"")</f>
      </c>
      <c r="D91" s="42">
        <f>IF(AND(Data!Q90&lt;&gt;"",Data!L90="Accept&amp;#233;"),Data!Q90,"")</f>
        <v>25569.041666666668</v>
      </c>
      <c r="E91" s="64">
        <f>IF(AND(Data!R90&lt;&gt;"",Data!L90="Accept&amp;#233;"),Data!R90,"")</f>
      </c>
      <c r="F91" s="65">
        <f>IF(AND(Data!R90&lt;&gt;"",Data!L90="Accept&amp;#233;"),Data!S90,"")</f>
      </c>
      <c r="G91" s="66">
        <f>IF(Data!R90='Delivery Plan'!E91,Data!U90,"")</f>
      </c>
      <c r="H91" s="53"/>
      <c r="I91" s="63">
        <f>IF(J91&lt;&gt;"","S"&amp;TEXT(WEEKNUM(J91),"00"),"")</f>
      </c>
      <c r="J91" s="42">
        <f>IF(AND(E91=Data!R90,Data!AA90&lt;&gt;""),Data!AA90,"")</f>
        <v>25569.041666666668</v>
      </c>
      <c r="K91" s="67">
        <f>IF(AND(E91=Data!R90,Data!AE90&lt;&gt;""),Data!AE90,"")</f>
        <v>25569.041666666668</v>
      </c>
      <c r="L91" s="68">
        <f>IF(E91=Data!R90,Data!AI90,"")</f>
      </c>
      <c r="M91" s="68">
        <f>IF(E91=Data!R90,Data!AJ90,"")</f>
      </c>
      <c r="N91" s="69">
        <f>IF(AND(Data!R90&lt;&gt;"",Data!L90="Accept&amp;#233;"),Data!K90,"")</f>
      </c>
    </row>
    <row x14ac:dyDescent="0.25" r="92" customHeight="1" ht="19.5">
      <c r="A92" s="62">
        <f>IF(AND(Data!R91&lt;&gt;"",Data!L91="Accept&amp;#233;"),Data!G91,"")</f>
      </c>
      <c r="B92" s="62">
        <f>IF(AND(Data!R91&lt;&gt;"",Data!L91="Accept&amp;#233;"),Data!L91,"")</f>
      </c>
      <c r="C92" s="63">
        <f>IF(D92&lt;&gt;"","S"&amp;TEXT(WEEKNUM(D92),"00"),"")</f>
      </c>
      <c r="D92" s="42">
        <f>IF(AND(Data!Q91&lt;&gt;"",Data!L91="Accept&amp;#233;"),Data!Q91,"")</f>
        <v>25569.041666666668</v>
      </c>
      <c r="E92" s="64">
        <f>IF(AND(Data!R91&lt;&gt;"",Data!L91="Accept&amp;#233;"),Data!R91,"")</f>
      </c>
      <c r="F92" s="65">
        <f>IF(AND(Data!R91&lt;&gt;"",Data!L91="Accept&amp;#233;"),Data!S91,"")</f>
      </c>
      <c r="G92" s="66">
        <f>IF(Data!R91='Delivery Plan'!E92,Data!U91,"")</f>
      </c>
      <c r="H92" s="53"/>
      <c r="I92" s="63">
        <f>IF(J92&lt;&gt;"","S"&amp;TEXT(WEEKNUM(J92),"00"),"")</f>
      </c>
      <c r="J92" s="42">
        <f>IF(AND(E92=Data!R91,Data!AA91&lt;&gt;""),Data!AA91,"")</f>
        <v>25569.041666666668</v>
      </c>
      <c r="K92" s="67">
        <f>IF(AND(E92=Data!R91,Data!AE91&lt;&gt;""),Data!AE91,"")</f>
        <v>25569.041666666668</v>
      </c>
      <c r="L92" s="68">
        <f>IF(E92=Data!R91,Data!AI91,"")</f>
      </c>
      <c r="M92" s="68">
        <f>IF(E92=Data!R91,Data!AJ91,"")</f>
      </c>
      <c r="N92" s="69">
        <f>IF(AND(Data!R91&lt;&gt;"",Data!L91="Accept&amp;#233;"),Data!K91,"")</f>
      </c>
    </row>
    <row x14ac:dyDescent="0.25" r="93" customHeight="1" ht="19.5">
      <c r="A93" s="62">
        <f>IF(AND(Data!R92&lt;&gt;"",Data!L92="Accept&amp;#233;"),Data!G92,"")</f>
      </c>
      <c r="B93" s="62">
        <f>IF(AND(Data!R92&lt;&gt;"",Data!L92="Accept&amp;#233;"),Data!L92,"")</f>
      </c>
      <c r="C93" s="63">
        <f>IF(D93&lt;&gt;"","S"&amp;TEXT(WEEKNUM(D93),"00"),"")</f>
      </c>
      <c r="D93" s="42">
        <f>IF(AND(Data!Q92&lt;&gt;"",Data!L92="Accept&amp;#233;"),Data!Q92,"")</f>
        <v>25569.041666666668</v>
      </c>
      <c r="E93" s="64">
        <f>IF(AND(Data!R92&lt;&gt;"",Data!L92="Accept&amp;#233;"),Data!R92,"")</f>
      </c>
      <c r="F93" s="65">
        <f>IF(AND(Data!R92&lt;&gt;"",Data!L92="Accept&amp;#233;"),Data!S92,"")</f>
      </c>
      <c r="G93" s="66">
        <f>IF(Data!R92='Delivery Plan'!E93,Data!U92,"")</f>
      </c>
      <c r="H93" s="53"/>
      <c r="I93" s="63">
        <f>IF(J93&lt;&gt;"","S"&amp;TEXT(WEEKNUM(J93),"00"),"")</f>
      </c>
      <c r="J93" s="42">
        <f>IF(AND(E93=Data!R92,Data!AA92&lt;&gt;""),Data!AA92,"")</f>
        <v>25569.041666666668</v>
      </c>
      <c r="K93" s="67">
        <f>IF(AND(E93=Data!R92,Data!AE92&lt;&gt;""),Data!AE92,"")</f>
        <v>25569.041666666668</v>
      </c>
      <c r="L93" s="68">
        <f>IF(E93=Data!R92,Data!AI92,"")</f>
      </c>
      <c r="M93" s="68">
        <f>IF(E93=Data!R92,Data!AJ92,"")</f>
      </c>
      <c r="N93" s="69">
        <f>IF(AND(Data!R92&lt;&gt;"",Data!L92="Accept&amp;#233;"),Data!K92,"")</f>
      </c>
    </row>
    <row x14ac:dyDescent="0.25" r="94" customHeight="1" ht="19.5" hidden="1">
      <c r="A94" s="62">
        <f>IF(AND(Data!R93&lt;&gt;"",Data!L93="Accept&amp;#233;"),Data!G93,"")</f>
      </c>
      <c r="B94" s="62">
        <f>IF(AND(Data!R93&lt;&gt;"",Data!L93="Accept&amp;#233;"),Data!L93,"")</f>
      </c>
      <c r="C94" s="63">
        <f>IF(D94&lt;&gt;"","S"&amp;TEXT(WEEKNUM(D94),"00"),"")</f>
      </c>
      <c r="D94" s="42">
        <f>IF(AND(Data!Q93&lt;&gt;"",Data!L93="Accept&amp;#233;"),Data!Q93,"")</f>
        <v>25569.041666666668</v>
      </c>
      <c r="E94" s="64">
        <f>IF(AND(Data!R93&lt;&gt;"",Data!L93="Accept&amp;#233;"),Data!R93,"")</f>
      </c>
      <c r="F94" s="65">
        <f>IF(AND(Data!R93&lt;&gt;"",Data!L93="Accept&amp;#233;"),Data!S93,"")</f>
      </c>
      <c r="G94" s="66">
        <f>IF(Data!R93='Delivery Plan'!E94,Data!U93,"")</f>
      </c>
      <c r="H94" s="53"/>
      <c r="I94" s="63">
        <f>IF(J94&lt;&gt;"","S"&amp;TEXT(WEEKNUM(J94),"00"),"")</f>
      </c>
      <c r="J94" s="42">
        <f>IF(AND(E94=Data!R93,Data!AA93&lt;&gt;""),Data!AA93,"")</f>
        <v>25569.041666666668</v>
      </c>
      <c r="K94" s="67">
        <f>IF(AND(E94=Data!R93,Data!AE93&lt;&gt;""),Data!AE93,"")</f>
        <v>25569.041666666668</v>
      </c>
      <c r="L94" s="68">
        <f>IF(E94=Data!R93,Data!AI93,"")</f>
      </c>
      <c r="M94" s="68">
        <f>IF(E94=Data!R93,Data!AJ93,"")</f>
      </c>
      <c r="N94" s="69">
        <f>IF(AND(Data!R93&lt;&gt;"",Data!L93="Accept&amp;#233;"),Data!K93,"")</f>
      </c>
    </row>
    <row x14ac:dyDescent="0.25" r="95" customHeight="1" ht="19.5" hidden="1">
      <c r="A95" s="62">
        <f>IF(AND(Data!R94&lt;&gt;"",Data!L94="Accept&amp;#233;"),Data!G94,"")</f>
      </c>
      <c r="B95" s="62">
        <f>IF(AND(Data!R94&lt;&gt;"",Data!L94="Accept&amp;#233;"),Data!L94,"")</f>
      </c>
      <c r="C95" s="63">
        <f>IF(D95&lt;&gt;"","S"&amp;TEXT(WEEKNUM(D95),"00"),"")</f>
      </c>
      <c r="D95" s="42">
        <f>IF(AND(Data!Q94&lt;&gt;"",Data!L94="Accept&amp;#233;"),Data!Q94,"")</f>
        <v>25569.041666666668</v>
      </c>
      <c r="E95" s="64">
        <f>IF(AND(Data!R94&lt;&gt;"",Data!L94="Accept&amp;#233;"),Data!R94,"")</f>
      </c>
      <c r="F95" s="65">
        <f>IF(AND(Data!R94&lt;&gt;"",Data!L94="Accept&amp;#233;"),Data!S94,"")</f>
      </c>
      <c r="G95" s="66">
        <f>IF(Data!R94='Delivery Plan'!E95,Data!U94,"")</f>
      </c>
      <c r="H95" s="53"/>
      <c r="I95" s="63">
        <f>IF(J95&lt;&gt;"","S"&amp;TEXT(WEEKNUM(J95),"00"),"")</f>
      </c>
      <c r="J95" s="42">
        <f>IF(AND(E95=Data!R94,Data!AA94&lt;&gt;""),Data!AA94,"")</f>
        <v>25569.041666666668</v>
      </c>
      <c r="K95" s="67">
        <f>IF(AND(E95=Data!R94,Data!AE94&lt;&gt;""),Data!AE94,"")</f>
        <v>25569.041666666668</v>
      </c>
      <c r="L95" s="68">
        <f>IF(E95=Data!R94,Data!AI94,"")</f>
      </c>
      <c r="M95" s="68">
        <f>IF(E95=Data!R94,Data!AJ94,"")</f>
      </c>
      <c r="N95" s="69">
        <f>IF(AND(Data!R94&lt;&gt;"",Data!L94="Accept&amp;#233;"),Data!K94,"")</f>
      </c>
    </row>
    <row x14ac:dyDescent="0.25" r="96" customHeight="1" ht="19.5" hidden="1">
      <c r="A96" s="62">
        <f>IF(AND(Data!R95&lt;&gt;"",Data!L95="Accept&amp;#233;"),Data!G95,"")</f>
      </c>
      <c r="B96" s="62">
        <f>IF(AND(Data!R95&lt;&gt;"",Data!L95="Accept&amp;#233;"),Data!L95,"")</f>
      </c>
      <c r="C96" s="63">
        <f>IF(D96&lt;&gt;"","S"&amp;TEXT(WEEKNUM(D96),"00"),"")</f>
      </c>
      <c r="D96" s="42">
        <f>IF(AND(Data!Q95&lt;&gt;"",Data!L95="Accept&amp;#233;"),Data!Q95,"")</f>
        <v>25569.041666666668</v>
      </c>
      <c r="E96" s="64">
        <f>IF(AND(Data!R95&lt;&gt;"",Data!L95="Accept&amp;#233;"),Data!R95,"")</f>
      </c>
      <c r="F96" s="65">
        <f>IF(AND(Data!R95&lt;&gt;"",Data!L95="Accept&amp;#233;"),Data!S95,"")</f>
      </c>
      <c r="G96" s="66">
        <f>IF(Data!R95='Delivery Plan'!E96,Data!U95,"")</f>
      </c>
      <c r="H96" s="53"/>
      <c r="I96" s="63">
        <f>IF(J96&lt;&gt;"","S"&amp;TEXT(WEEKNUM(J96),"00"),"")</f>
      </c>
      <c r="J96" s="42">
        <f>IF(AND(E96=Data!R95,Data!AA95&lt;&gt;""),Data!AA95,"")</f>
        <v>25569.041666666668</v>
      </c>
      <c r="K96" s="67">
        <f>IF(AND(E96=Data!R95,Data!AE95&lt;&gt;""),Data!AE95,"")</f>
        <v>25569.041666666668</v>
      </c>
      <c r="L96" s="68">
        <f>IF(E96=Data!R95,Data!AI95,"")</f>
      </c>
      <c r="M96" s="68">
        <f>IF(E96=Data!R95,Data!AJ95,"")</f>
      </c>
      <c r="N96" s="69">
        <f>IF(AND(Data!R95&lt;&gt;"",Data!L95="Accept&amp;#233;"),Data!K95,"")</f>
      </c>
    </row>
    <row x14ac:dyDescent="0.25" r="97" customHeight="1" ht="19.5" hidden="1">
      <c r="A97" s="62">
        <f>IF(AND(Data!R96&lt;&gt;"",Data!L96="Accept&amp;#233;"),Data!G96,"")</f>
      </c>
      <c r="B97" s="62">
        <f>IF(AND(Data!R96&lt;&gt;"",Data!L96="Accept&amp;#233;"),Data!L96,"")</f>
      </c>
      <c r="C97" s="63">
        <f>IF(D97&lt;&gt;"","S"&amp;TEXT(WEEKNUM(D97),"00"),"")</f>
      </c>
      <c r="D97" s="42">
        <f>IF(AND(Data!Q96&lt;&gt;"",Data!L96="Accept&amp;#233;"),Data!Q96,"")</f>
        <v>25569.041666666668</v>
      </c>
      <c r="E97" s="64">
        <f>IF(AND(Data!R96&lt;&gt;"",Data!L96="Accept&amp;#233;"),Data!R96,"")</f>
      </c>
      <c r="F97" s="65">
        <f>IF(AND(Data!R96&lt;&gt;"",Data!L96="Accept&amp;#233;"),Data!S96,"")</f>
      </c>
      <c r="G97" s="66">
        <f>IF(Data!R96='Delivery Plan'!E97,Data!U96,"")</f>
      </c>
      <c r="H97" s="53"/>
      <c r="I97" s="63">
        <f>IF(J97&lt;&gt;"","S"&amp;TEXT(WEEKNUM(J97),"00"),"")</f>
      </c>
      <c r="J97" s="42">
        <f>IF(AND(E97=Data!R96,Data!AA96&lt;&gt;""),Data!AA96,"")</f>
        <v>25569.041666666668</v>
      </c>
      <c r="K97" s="67">
        <f>IF(AND(E97=Data!R96,Data!AE96&lt;&gt;""),Data!AE96,"")</f>
        <v>25569.041666666668</v>
      </c>
      <c r="L97" s="68">
        <f>IF(E97=Data!R96,Data!AI96,"")</f>
      </c>
      <c r="M97" s="68">
        <f>IF(E97=Data!R96,Data!AJ96,"")</f>
      </c>
      <c r="N97" s="69">
        <f>IF(AND(Data!R96&lt;&gt;"",Data!L96="Accept&amp;#233;"),Data!K96,"")</f>
      </c>
    </row>
    <row x14ac:dyDescent="0.25" r="98" customHeight="1" ht="19.5" hidden="1">
      <c r="A98" s="62">
        <f>IF(AND(Data!R97&lt;&gt;"",Data!L97="Accept&amp;#233;"),Data!G97,"")</f>
      </c>
      <c r="B98" s="62">
        <f>IF(AND(Data!R97&lt;&gt;"",Data!L97="Accept&amp;#233;"),Data!L97,"")</f>
      </c>
      <c r="C98" s="63">
        <f>IF(D98&lt;&gt;"","S"&amp;TEXT(WEEKNUM(D98),"00"),"")</f>
      </c>
      <c r="D98" s="42">
        <f>IF(AND(Data!Q97&lt;&gt;"",Data!L97="Accept&amp;#233;"),Data!Q97,"")</f>
        <v>25569.041666666668</v>
      </c>
      <c r="E98" s="64">
        <f>IF(AND(Data!R97&lt;&gt;"",Data!L97="Accept&amp;#233;"),Data!R97,"")</f>
      </c>
      <c r="F98" s="65">
        <f>IF(AND(Data!R97&lt;&gt;"",Data!L97="Accept&amp;#233;"),Data!S97,"")</f>
      </c>
      <c r="G98" s="66">
        <f>IF(Data!R97='Delivery Plan'!E98,Data!U97,"")</f>
      </c>
      <c r="H98" s="53"/>
      <c r="I98" s="63">
        <f>IF(J98&lt;&gt;"","S"&amp;TEXT(WEEKNUM(J98),"00"),"")</f>
      </c>
      <c r="J98" s="42">
        <f>IF(AND(E98=Data!R97,Data!AA97&lt;&gt;""),Data!AA97,"")</f>
        <v>25569.041666666668</v>
      </c>
      <c r="K98" s="67">
        <f>IF(AND(E98=Data!R97,Data!AE97&lt;&gt;""),Data!AE97,"")</f>
        <v>25569.041666666668</v>
      </c>
      <c r="L98" s="68">
        <f>IF(E98=Data!R97,Data!AI97,"")</f>
      </c>
      <c r="M98" s="68">
        <f>IF(E98=Data!R97,Data!AJ97,"")</f>
      </c>
      <c r="N98" s="69">
        <f>IF(AND(Data!R97&lt;&gt;"",Data!L97="Accept&amp;#233;"),Data!K97,"")</f>
      </c>
    </row>
    <row x14ac:dyDescent="0.25" r="99" customHeight="1" ht="19.5" hidden="1">
      <c r="A99" s="62">
        <f>IF(AND(Data!R98&lt;&gt;"",Data!L98="Accept&amp;#233;"),Data!G98,"")</f>
      </c>
      <c r="B99" s="62">
        <f>IF(AND(Data!R98&lt;&gt;"",Data!L98="Accept&amp;#233;"),Data!L98,"")</f>
      </c>
      <c r="C99" s="63">
        <f>IF(D99&lt;&gt;"","S"&amp;TEXT(WEEKNUM(D99),"00"),"")</f>
      </c>
      <c r="D99" s="42">
        <f>IF(AND(Data!Q98&lt;&gt;"",Data!L98="Accept&amp;#233;"),Data!Q98,"")</f>
        <v>25569.041666666668</v>
      </c>
      <c r="E99" s="64">
        <f>IF(AND(Data!R98&lt;&gt;"",Data!L98="Accept&amp;#233;"),Data!R98,"")</f>
      </c>
      <c r="F99" s="65">
        <f>IF(AND(Data!R98&lt;&gt;"",Data!L98="Accept&amp;#233;"),Data!S98,"")</f>
      </c>
      <c r="G99" s="66">
        <f>IF(Data!R98='Delivery Plan'!E99,Data!U98,"")</f>
      </c>
      <c r="H99" s="53"/>
      <c r="I99" s="63">
        <f>IF(J99&lt;&gt;"","S"&amp;TEXT(WEEKNUM(J99),"00"),"")</f>
      </c>
      <c r="J99" s="42">
        <f>IF(AND(E99=Data!R98,Data!AA98&lt;&gt;""),Data!AA98,"")</f>
        <v>25569.041666666668</v>
      </c>
      <c r="K99" s="67">
        <f>IF(AND(E99=Data!R98,Data!AE98&lt;&gt;""),Data!AE98,"")</f>
        <v>25569.041666666668</v>
      </c>
      <c r="L99" s="68">
        <f>IF(E99=Data!R98,Data!AI98,"")</f>
      </c>
      <c r="M99" s="68">
        <f>IF(E99=Data!R98,Data!AJ98,"")</f>
      </c>
      <c r="N99" s="69">
        <f>IF(AND(Data!R98&lt;&gt;"",Data!L98="Accept&amp;#233;"),Data!K98,"")</f>
      </c>
    </row>
    <row x14ac:dyDescent="0.25" r="100" customHeight="1" ht="19.5">
      <c r="A100" s="62">
        <f>IF(AND(Data!R99&lt;&gt;"",Data!L99="Accept&amp;#233;"),Data!G99,"")</f>
      </c>
      <c r="B100" s="62">
        <f>IF(AND(Data!R99&lt;&gt;"",Data!L99="Accept&amp;#233;"),Data!L99,"")</f>
      </c>
      <c r="C100" s="63">
        <f>IF(D100&lt;&gt;"","S"&amp;TEXT(WEEKNUM(D100),"00"),"")</f>
      </c>
      <c r="D100" s="42">
        <f>IF(AND(Data!Q99&lt;&gt;"",Data!L99="Accept&amp;#233;"),Data!Q99,"")</f>
        <v>25569.041666666668</v>
      </c>
      <c r="E100" s="64">
        <f>IF(AND(Data!R99&lt;&gt;"",Data!L99="Accept&amp;#233;"),Data!R99,"")</f>
      </c>
      <c r="F100" s="65">
        <f>IF(AND(Data!R99&lt;&gt;"",Data!L99="Accept&amp;#233;"),Data!S99,"")</f>
      </c>
      <c r="G100" s="66">
        <f>IF(Data!R99='Delivery Plan'!E100,Data!U99,"")</f>
      </c>
      <c r="H100" s="53"/>
      <c r="I100" s="63">
        <f>IF(J100&lt;&gt;"","S"&amp;TEXT(WEEKNUM(J100),"00"),"")</f>
      </c>
      <c r="J100" s="42">
        <f>IF(AND(E100=Data!R99,Data!AA99&lt;&gt;""),Data!AA99,"")</f>
        <v>25569.041666666668</v>
      </c>
      <c r="K100" s="67">
        <f>IF(AND(E100=Data!R99,Data!AE99&lt;&gt;""),Data!AE99,"")</f>
        <v>25569.041666666668</v>
      </c>
      <c r="L100" s="68">
        <f>IF(E100=Data!R99,Data!AI99,"")</f>
      </c>
      <c r="M100" s="68">
        <f>IF(E100=Data!R99,Data!AJ99,"")</f>
      </c>
      <c r="N100" s="69">
        <f>IF(AND(Data!R99&lt;&gt;"",Data!L99="Accept&amp;#233;"),Data!K99,"")</f>
      </c>
    </row>
    <row x14ac:dyDescent="0.25" r="101" customHeight="1" ht="19.5">
      <c r="A101" s="62">
        <f>IF(AND(Data!R100&lt;&gt;"",Data!L100="Accept&amp;#233;"),Data!G100,"")</f>
      </c>
      <c r="B101" s="62">
        <f>IF(AND(Data!R100&lt;&gt;"",Data!L100="Accept&amp;#233;"),Data!L100,"")</f>
      </c>
      <c r="C101" s="63">
        <f>IF(D101&lt;&gt;"","S"&amp;TEXT(WEEKNUM(D101),"00"),"")</f>
      </c>
      <c r="D101" s="42">
        <f>IF(AND(Data!Q100&lt;&gt;"",Data!L100="Accept&amp;#233;"),Data!Q100,"")</f>
        <v>25569.041666666668</v>
      </c>
      <c r="E101" s="64">
        <f>IF(AND(Data!R100&lt;&gt;"",Data!L100="Accept&amp;#233;"),Data!R100,"")</f>
      </c>
      <c r="F101" s="65">
        <f>IF(AND(Data!R100&lt;&gt;"",Data!L100="Accept&amp;#233;"),Data!S100,"")</f>
      </c>
      <c r="G101" s="66">
        <f>IF(Data!R100='Delivery Plan'!E101,Data!U100,"")</f>
      </c>
      <c r="H101" s="53"/>
      <c r="I101" s="63">
        <f>IF(J101&lt;&gt;"","S"&amp;TEXT(WEEKNUM(J101),"00"),"")</f>
      </c>
      <c r="J101" s="42">
        <f>IF(AND(E101=Data!R100,Data!AA100&lt;&gt;""),Data!AA100,"")</f>
        <v>25569.041666666668</v>
      </c>
      <c r="K101" s="67">
        <f>IF(AND(E101=Data!R100,Data!AE100&lt;&gt;""),Data!AE100,"")</f>
        <v>25569.041666666668</v>
      </c>
      <c r="L101" s="68">
        <f>IF(E101=Data!R100,Data!AI100,"")</f>
      </c>
      <c r="M101" s="68">
        <f>IF(E101=Data!R100,Data!AJ100,"")</f>
      </c>
      <c r="N101" s="69">
        <f>IF(AND(Data!R100&lt;&gt;"",Data!L100="Accept&amp;#233;"),Data!K100,"")</f>
      </c>
    </row>
    <row x14ac:dyDescent="0.25" r="102" customHeight="1" ht="19.5" hidden="1">
      <c r="A102" s="62">
        <f>IF(AND(Data!R101&lt;&gt;"",Data!L101="Accept&amp;#233;"),Data!G101,"")</f>
      </c>
      <c r="B102" s="62">
        <f>IF(AND(Data!R101&lt;&gt;"",Data!L101="Accept&amp;#233;"),Data!L101,"")</f>
      </c>
      <c r="C102" s="63">
        <f>IF(D102&lt;&gt;"","S"&amp;TEXT(WEEKNUM(D102),"00"),"")</f>
      </c>
      <c r="D102" s="42">
        <f>IF(AND(Data!Q101&lt;&gt;"",Data!L101="Accept&amp;#233;"),Data!Q101,"")</f>
        <v>25569.041666666668</v>
      </c>
      <c r="E102" s="64">
        <f>IF(AND(Data!R101&lt;&gt;"",Data!L101="Accept&amp;#233;"),Data!R101,"")</f>
      </c>
      <c r="F102" s="65">
        <f>IF(AND(Data!R101&lt;&gt;"",Data!L101="Accept&amp;#233;"),Data!S101,"")</f>
      </c>
      <c r="G102" s="66">
        <f>IF(Data!R101='Delivery Plan'!E102,Data!U101,"")</f>
      </c>
      <c r="H102" s="53"/>
      <c r="I102" s="63">
        <f>IF(J102&lt;&gt;"","S"&amp;TEXT(WEEKNUM(J102),"00"),"")</f>
      </c>
      <c r="J102" s="42">
        <f>IF(AND(E102=Data!R101,Data!AA101&lt;&gt;""),Data!AA101,"")</f>
        <v>25569.041666666668</v>
      </c>
      <c r="K102" s="67">
        <f>IF(AND(E102=Data!R101,Data!AE101&lt;&gt;""),Data!AE101,"")</f>
        <v>25569.041666666668</v>
      </c>
      <c r="L102" s="68">
        <f>IF(E102=Data!R101,Data!AI101,"")</f>
      </c>
      <c r="M102" s="68">
        <f>IF(E102=Data!R101,Data!AJ101,"")</f>
      </c>
      <c r="N102" s="69">
        <f>IF(AND(Data!R101&lt;&gt;"",Data!L101="Accept&amp;#233;"),Data!K101,"")</f>
      </c>
    </row>
    <row x14ac:dyDescent="0.25" r="103" customHeight="1" ht="19.5">
      <c r="A103" s="62">
        <f>IF(AND(Data!R102&lt;&gt;"",Data!L102="Accept&amp;#233;"),Data!G102,"")</f>
      </c>
      <c r="B103" s="62">
        <f>IF(AND(Data!R102&lt;&gt;"",Data!L102="Accept&amp;#233;"),Data!L102,"")</f>
      </c>
      <c r="C103" s="63">
        <f>IF(D103&lt;&gt;"","S"&amp;TEXT(WEEKNUM(D103),"00"),"")</f>
      </c>
      <c r="D103" s="42">
        <f>IF(AND(Data!Q102&lt;&gt;"",Data!L102="Accept&amp;#233;"),Data!Q102,"")</f>
        <v>25569.041666666668</v>
      </c>
      <c r="E103" s="64">
        <f>IF(AND(Data!R102&lt;&gt;"",Data!L102="Accept&amp;#233;"),Data!R102,"")</f>
      </c>
      <c r="F103" s="65">
        <f>IF(AND(Data!R102&lt;&gt;"",Data!L102="Accept&amp;#233;"),Data!S102,"")</f>
      </c>
      <c r="G103" s="66">
        <f>IF(Data!R102='Delivery Plan'!E103,Data!U102,"")</f>
      </c>
      <c r="H103" s="53"/>
      <c r="I103" s="63">
        <f>IF(J103&lt;&gt;"","S"&amp;TEXT(WEEKNUM(J103),"00"),"")</f>
      </c>
      <c r="J103" s="42">
        <f>IF(AND(E103=Data!R102,Data!AA102&lt;&gt;""),Data!AA102,"")</f>
        <v>25569.041666666668</v>
      </c>
      <c r="K103" s="67">
        <f>IF(AND(E103=Data!R102,Data!AE102&lt;&gt;""),Data!AE102,"")</f>
        <v>25569.041666666668</v>
      </c>
      <c r="L103" s="68">
        <f>IF(E103=Data!R102,Data!AI102,"")</f>
      </c>
      <c r="M103" s="68">
        <f>IF(E103=Data!R102,Data!AJ102,"")</f>
      </c>
      <c r="N103" s="69">
        <f>IF(AND(Data!R102&lt;&gt;"",Data!L102="Accept&amp;#233;"),Data!K102,"")</f>
      </c>
    </row>
    <row x14ac:dyDescent="0.25" r="104" customHeight="1" ht="19.5" hidden="1">
      <c r="A104" s="62">
        <f>IF(AND(Data!R103&lt;&gt;"",Data!L103="Accept&amp;#233;"),Data!G103,"")</f>
      </c>
      <c r="B104" s="62">
        <f>IF(AND(Data!R103&lt;&gt;"",Data!L103="Accept&amp;#233;"),Data!L103,"")</f>
      </c>
      <c r="C104" s="63">
        <f>IF(D104&lt;&gt;"","S"&amp;TEXT(WEEKNUM(D104),"00"),"")</f>
      </c>
      <c r="D104" s="42">
        <f>IF(AND(Data!Q103&lt;&gt;"",Data!L103="Accept&amp;#233;"),Data!Q103,"")</f>
        <v>25569.041666666668</v>
      </c>
      <c r="E104" s="64">
        <f>IF(AND(Data!R103&lt;&gt;"",Data!L103="Accept&amp;#233;"),Data!R103,"")</f>
      </c>
      <c r="F104" s="65">
        <f>IF(AND(Data!R103&lt;&gt;"",Data!L103="Accept&amp;#233;"),Data!S103,"")</f>
      </c>
      <c r="G104" s="66">
        <f>IF(Data!R103='Delivery Plan'!E104,Data!U103,"")</f>
      </c>
      <c r="H104" s="53"/>
      <c r="I104" s="63">
        <f>IF(J104&lt;&gt;"","S"&amp;TEXT(WEEKNUM(J104),"00"),"")</f>
      </c>
      <c r="J104" s="42">
        <f>IF(AND(E104=Data!R103,Data!AA103&lt;&gt;""),Data!AA103,"")</f>
        <v>25569.041666666668</v>
      </c>
      <c r="K104" s="67">
        <f>IF(AND(E104=Data!R103,Data!AE103&lt;&gt;""),Data!AE103,"")</f>
        <v>25569.041666666668</v>
      </c>
      <c r="L104" s="68">
        <f>IF(E104=Data!R103,Data!AI103,"")</f>
      </c>
      <c r="M104" s="68">
        <f>IF(E104=Data!R103,Data!AJ103,"")</f>
      </c>
      <c r="N104" s="69">
        <f>IF(AND(Data!R103&lt;&gt;"",Data!L103="Accept&amp;#233;"),Data!K103,"")</f>
      </c>
    </row>
    <row x14ac:dyDescent="0.25" r="105" customHeight="1" ht="19.5" hidden="1">
      <c r="A105" s="62">
        <f>IF(AND(Data!R104&lt;&gt;"",Data!L104="Accept&amp;#233;"),Data!G104,"")</f>
      </c>
      <c r="B105" s="62">
        <f>IF(AND(Data!R104&lt;&gt;"",Data!L104="Accept&amp;#233;"),Data!L104,"")</f>
      </c>
      <c r="C105" s="63">
        <f>IF(D105&lt;&gt;"","S"&amp;TEXT(WEEKNUM(D105),"00"),"")</f>
      </c>
      <c r="D105" s="42">
        <f>IF(AND(Data!Q104&lt;&gt;"",Data!L104="Accept&amp;#233;"),Data!Q104,"")</f>
        <v>25569.041666666668</v>
      </c>
      <c r="E105" s="64">
        <f>IF(AND(Data!R104&lt;&gt;"",Data!L104="Accept&amp;#233;"),Data!R104,"")</f>
      </c>
      <c r="F105" s="65">
        <f>IF(AND(Data!R104&lt;&gt;"",Data!L104="Accept&amp;#233;"),Data!S104,"")</f>
      </c>
      <c r="G105" s="66">
        <f>IF(Data!R104='Delivery Plan'!E105,Data!U104,"")</f>
      </c>
      <c r="H105" s="53"/>
      <c r="I105" s="63">
        <f>IF(J105&lt;&gt;"","S"&amp;TEXT(WEEKNUM(J105),"00"),"")</f>
      </c>
      <c r="J105" s="42">
        <f>IF(AND(E105=Data!R104,Data!AA104&lt;&gt;""),Data!AA104,"")</f>
        <v>25569.041666666668</v>
      </c>
      <c r="K105" s="67">
        <f>IF(AND(E105=Data!R104,Data!AE104&lt;&gt;""),Data!AE104,"")</f>
        <v>25569.041666666668</v>
      </c>
      <c r="L105" s="68">
        <f>IF(E105=Data!R104,Data!AI104,"")</f>
      </c>
      <c r="M105" s="68">
        <f>IF(E105=Data!R104,Data!AJ104,"")</f>
      </c>
      <c r="N105" s="69">
        <f>IF(AND(Data!R104&lt;&gt;"",Data!L104="Accept&amp;#233;"),Data!K104,"")</f>
      </c>
    </row>
    <row x14ac:dyDescent="0.25" r="106" customHeight="1" ht="19.5" hidden="1">
      <c r="A106" s="62">
        <f>IF(AND(Data!R105&lt;&gt;"",Data!L105="Accept&amp;#233;"),Data!G105,"")</f>
      </c>
      <c r="B106" s="62">
        <f>IF(AND(Data!R105&lt;&gt;"",Data!L105="Accept&amp;#233;"),Data!L105,"")</f>
      </c>
      <c r="C106" s="63">
        <f>IF(D106&lt;&gt;"","S"&amp;TEXT(WEEKNUM(D106),"00"),"")</f>
      </c>
      <c r="D106" s="42">
        <f>IF(AND(Data!Q105&lt;&gt;"",Data!L105="Accept&amp;#233;"),Data!Q105,"")</f>
        <v>25569.041666666668</v>
      </c>
      <c r="E106" s="64">
        <f>IF(AND(Data!R105&lt;&gt;"",Data!L105="Accept&amp;#233;"),Data!R105,"")</f>
      </c>
      <c r="F106" s="65">
        <f>IF(AND(Data!R105&lt;&gt;"",Data!L105="Accept&amp;#233;"),Data!S105,"")</f>
      </c>
      <c r="G106" s="66">
        <f>IF(Data!R105='Delivery Plan'!E106,Data!U105,"")</f>
      </c>
      <c r="H106" s="53"/>
      <c r="I106" s="63">
        <f>IF(J106&lt;&gt;"","S"&amp;TEXT(WEEKNUM(J106),"00"),"")</f>
      </c>
      <c r="J106" s="42">
        <f>IF(AND(E106=Data!R105,Data!AA105&lt;&gt;""),Data!AA105,"")</f>
        <v>25569.041666666668</v>
      </c>
      <c r="K106" s="67">
        <f>IF(AND(E106=Data!R105,Data!AE105&lt;&gt;""),Data!AE105,"")</f>
        <v>25569.041666666668</v>
      </c>
      <c r="L106" s="68">
        <f>IF(E106=Data!R105,Data!AI105,"")</f>
      </c>
      <c r="M106" s="68">
        <f>IF(E106=Data!R105,Data!AJ105,"")</f>
      </c>
      <c r="N106" s="69">
        <f>IF(AND(Data!R105&lt;&gt;"",Data!L105="Accept&amp;#233;"),Data!K105,"")</f>
      </c>
    </row>
    <row x14ac:dyDescent="0.25" r="107" customHeight="1" ht="19.5">
      <c r="A107" s="62">
        <f>IF(AND(Data!R106&lt;&gt;"",Data!L106="Accept&amp;#233;"),Data!G106,"")</f>
      </c>
      <c r="B107" s="62">
        <f>IF(AND(Data!R106&lt;&gt;"",Data!L106="Accept&amp;#233;"),Data!L106,"")</f>
      </c>
      <c r="C107" s="63">
        <f>IF(D107&lt;&gt;"","S"&amp;TEXT(WEEKNUM(D107),"00"),"")</f>
      </c>
      <c r="D107" s="42">
        <f>IF(AND(Data!Q106&lt;&gt;"",Data!L106="Accept&amp;#233;"),Data!Q106,"")</f>
        <v>25569.041666666668</v>
      </c>
      <c r="E107" s="64">
        <f>IF(AND(Data!R106&lt;&gt;"",Data!L106="Accept&amp;#233;"),Data!R106,"")</f>
      </c>
      <c r="F107" s="65">
        <f>IF(AND(Data!R106&lt;&gt;"",Data!L106="Accept&amp;#233;"),Data!S106,"")</f>
      </c>
      <c r="G107" s="66">
        <f>IF(Data!R106='Delivery Plan'!E107,Data!U106,"")</f>
      </c>
      <c r="H107" s="53"/>
      <c r="I107" s="63">
        <f>IF(J107&lt;&gt;"","S"&amp;TEXT(WEEKNUM(J107),"00"),"")</f>
      </c>
      <c r="J107" s="42">
        <f>IF(AND(E107=Data!R106,Data!AA106&lt;&gt;""),Data!AA106,"")</f>
        <v>25569.041666666668</v>
      </c>
      <c r="K107" s="67">
        <f>IF(AND(E107=Data!R106,Data!AE106&lt;&gt;""),Data!AE106,"")</f>
        <v>25569.041666666668</v>
      </c>
      <c r="L107" s="68">
        <f>IF(E107=Data!R106,Data!AI106,"")</f>
      </c>
      <c r="M107" s="68">
        <f>IF(E107=Data!R106,Data!AJ106,"")</f>
      </c>
      <c r="N107" s="69">
        <f>IF(AND(Data!R106&lt;&gt;"",Data!L106="Accept&amp;#233;"),Data!K106,"")</f>
      </c>
    </row>
    <row x14ac:dyDescent="0.25" r="108" customHeight="1" ht="19.5">
      <c r="A108" s="62">
        <f>IF(AND(Data!R107&lt;&gt;"",Data!L107="Accept&amp;#233;"),Data!G107,"")</f>
      </c>
      <c r="B108" s="62">
        <f>IF(AND(Data!R107&lt;&gt;"",Data!L107="Accept&amp;#233;"),Data!L107,"")</f>
      </c>
      <c r="C108" s="63">
        <f>IF(D108&lt;&gt;"","S"&amp;TEXT(WEEKNUM(D108),"00"),"")</f>
      </c>
      <c r="D108" s="42">
        <f>IF(AND(Data!Q107&lt;&gt;"",Data!L107="Accept&amp;#233;"),Data!Q107,"")</f>
        <v>25569.041666666668</v>
      </c>
      <c r="E108" s="64">
        <f>IF(AND(Data!R107&lt;&gt;"",Data!L107="Accept&amp;#233;"),Data!R107,"")</f>
      </c>
      <c r="F108" s="65">
        <f>IF(AND(Data!R107&lt;&gt;"",Data!L107="Accept&amp;#233;"),Data!S107,"")</f>
      </c>
      <c r="G108" s="66">
        <f>IF(Data!R107='Delivery Plan'!E108,Data!U107,"")</f>
      </c>
      <c r="H108" s="53"/>
      <c r="I108" s="63">
        <f>IF(J108&lt;&gt;"","S"&amp;TEXT(WEEKNUM(J108),"00"),"")</f>
      </c>
      <c r="J108" s="42">
        <f>IF(AND(E108=Data!R107,Data!AA107&lt;&gt;""),Data!AA107,"")</f>
        <v>25569.041666666668</v>
      </c>
      <c r="K108" s="67">
        <f>IF(AND(E108=Data!R107,Data!AE107&lt;&gt;""),Data!AE107,"")</f>
        <v>25569.041666666668</v>
      </c>
      <c r="L108" s="68">
        <f>IF(E108=Data!R107,Data!AI107,"")</f>
      </c>
      <c r="M108" s="68">
        <f>IF(E108=Data!R107,Data!AJ107,"")</f>
      </c>
      <c r="N108" s="69">
        <f>IF(AND(Data!R107&lt;&gt;"",Data!L107="Accept&amp;#233;"),Data!K107,"")</f>
      </c>
    </row>
    <row x14ac:dyDescent="0.25" r="109" customHeight="1" ht="19.5" hidden="1">
      <c r="A109" s="62">
        <f>IF(AND(Data!R108&lt;&gt;"",Data!L108="Accept&amp;#233;"),Data!G108,"")</f>
      </c>
      <c r="B109" s="62">
        <f>IF(AND(Data!R108&lt;&gt;"",Data!L108="Accept&amp;#233;"),Data!L108,"")</f>
      </c>
      <c r="C109" s="63">
        <f>IF(D109&lt;&gt;"","S"&amp;TEXT(WEEKNUM(D109),"00"),"")</f>
      </c>
      <c r="D109" s="42">
        <f>IF(AND(Data!Q108&lt;&gt;"",Data!L108="Accept&amp;#233;"),Data!Q108,"")</f>
        <v>25569.041666666668</v>
      </c>
      <c r="E109" s="64">
        <f>IF(AND(Data!R108&lt;&gt;"",Data!L108="Accept&amp;#233;"),Data!R108,"")</f>
      </c>
      <c r="F109" s="65">
        <f>IF(AND(Data!R108&lt;&gt;"",Data!L108="Accept&amp;#233;"),Data!S108,"")</f>
      </c>
      <c r="G109" s="66">
        <f>IF(Data!R108='Delivery Plan'!E109,Data!U108,"")</f>
      </c>
      <c r="H109" s="53"/>
      <c r="I109" s="63">
        <f>IF(J109&lt;&gt;"","S"&amp;TEXT(WEEKNUM(J109),"00"),"")</f>
      </c>
      <c r="J109" s="42">
        <f>IF(AND(E109=Data!R108,Data!AA108&lt;&gt;""),Data!AA108,"")</f>
        <v>25569.041666666668</v>
      </c>
      <c r="K109" s="67">
        <f>IF(AND(E109=Data!R108,Data!AE108&lt;&gt;""),Data!AE108,"")</f>
        <v>25569.041666666668</v>
      </c>
      <c r="L109" s="68">
        <f>IF(E109=Data!R108,Data!AI108,"")</f>
      </c>
      <c r="M109" s="68">
        <f>IF(E109=Data!R108,Data!AJ108,"")</f>
      </c>
      <c r="N109" s="69">
        <f>IF(AND(Data!R108&lt;&gt;"",Data!L108="Accept&amp;#233;"),Data!K108,"")</f>
      </c>
    </row>
    <row x14ac:dyDescent="0.25" r="110" customHeight="1" ht="19.5" hidden="1">
      <c r="A110" s="62">
        <f>IF(AND(Data!R109&lt;&gt;"",Data!L109="Accept&amp;#233;"),Data!G109,"")</f>
      </c>
      <c r="B110" s="62">
        <f>IF(AND(Data!R109&lt;&gt;"",Data!L109="Accept&amp;#233;"),Data!L109,"")</f>
      </c>
      <c r="C110" s="63">
        <f>IF(D110&lt;&gt;"","S"&amp;TEXT(WEEKNUM(D110),"00"),"")</f>
      </c>
      <c r="D110" s="42">
        <f>IF(AND(Data!Q109&lt;&gt;"",Data!L109="Accept&amp;#233;"),Data!Q109,"")</f>
        <v>25569.041666666668</v>
      </c>
      <c r="E110" s="64">
        <f>IF(AND(Data!R109&lt;&gt;"",Data!L109="Accept&amp;#233;"),Data!R109,"")</f>
      </c>
      <c r="F110" s="65">
        <f>IF(AND(Data!R109&lt;&gt;"",Data!L109="Accept&amp;#233;"),Data!S109,"")</f>
      </c>
      <c r="G110" s="66">
        <f>IF(Data!R109='Delivery Plan'!E110,Data!U109,"")</f>
      </c>
      <c r="H110" s="53"/>
      <c r="I110" s="63">
        <f>IF(J110&lt;&gt;"","S"&amp;TEXT(WEEKNUM(J110),"00"),"")</f>
      </c>
      <c r="J110" s="42">
        <f>IF(AND(E110=Data!R109,Data!AA109&lt;&gt;""),Data!AA109,"")</f>
        <v>25569.041666666668</v>
      </c>
      <c r="K110" s="67">
        <f>IF(AND(E110=Data!R109,Data!AE109&lt;&gt;""),Data!AE109,"")</f>
        <v>25569.041666666668</v>
      </c>
      <c r="L110" s="68">
        <f>IF(E110=Data!R109,Data!AI109,"")</f>
      </c>
      <c r="M110" s="68">
        <f>IF(E110=Data!R109,Data!AJ109,"")</f>
      </c>
      <c r="N110" s="69">
        <f>IF(AND(Data!R109&lt;&gt;"",Data!L109="Accept&amp;#233;"),Data!K109,"")</f>
      </c>
    </row>
    <row x14ac:dyDescent="0.25" r="111" customHeight="1" ht="19.5" hidden="1">
      <c r="A111" s="62">
        <f>IF(AND(Data!R110&lt;&gt;"",Data!L110="Accept&amp;#233;"),Data!G110,"")</f>
      </c>
      <c r="B111" s="62">
        <f>IF(AND(Data!R110&lt;&gt;"",Data!L110="Accept&amp;#233;"),Data!L110,"")</f>
      </c>
      <c r="C111" s="63">
        <f>IF(D111&lt;&gt;"","S"&amp;TEXT(WEEKNUM(D111),"00"),"")</f>
      </c>
      <c r="D111" s="42">
        <f>IF(AND(Data!Q110&lt;&gt;"",Data!L110="Accept&amp;#233;"),Data!Q110,"")</f>
        <v>25569.041666666668</v>
      </c>
      <c r="E111" s="64">
        <f>IF(AND(Data!R110&lt;&gt;"",Data!L110="Accept&amp;#233;"),Data!R110,"")</f>
      </c>
      <c r="F111" s="65">
        <f>IF(AND(Data!R110&lt;&gt;"",Data!L110="Accept&amp;#233;"),Data!S110,"")</f>
      </c>
      <c r="G111" s="66">
        <f>IF(Data!R110='Delivery Plan'!E111,Data!U110,"")</f>
      </c>
      <c r="H111" s="53"/>
      <c r="I111" s="63">
        <f>IF(J111&lt;&gt;"","S"&amp;TEXT(WEEKNUM(J111),"00"),"")</f>
      </c>
      <c r="J111" s="42">
        <f>IF(AND(E111=Data!R110,Data!AA110&lt;&gt;""),Data!AA110,"")</f>
        <v>25569.041666666668</v>
      </c>
      <c r="K111" s="67">
        <f>IF(AND(E111=Data!R110,Data!AE110&lt;&gt;""),Data!AE110,"")</f>
        <v>25569.041666666668</v>
      </c>
      <c r="L111" s="68">
        <f>IF(E111=Data!R110,Data!AI110,"")</f>
      </c>
      <c r="M111" s="68">
        <f>IF(E111=Data!R110,Data!AJ110,"")</f>
      </c>
      <c r="N111" s="69">
        <f>IF(AND(Data!R110&lt;&gt;"",Data!L110="Accept&amp;#233;"),Data!K110,"")</f>
      </c>
    </row>
    <row x14ac:dyDescent="0.25" r="112" customHeight="1" ht="19.5">
      <c r="A112" s="62">
        <f>IF(AND(Data!R111&lt;&gt;"",Data!L111="Accept&amp;#233;"),Data!G111,"")</f>
      </c>
      <c r="B112" s="62">
        <f>IF(AND(Data!R111&lt;&gt;"",Data!L111="Accept&amp;#233;"),Data!L111,"")</f>
      </c>
      <c r="C112" s="63">
        <f>IF(D112&lt;&gt;"","S"&amp;TEXT(WEEKNUM(D112),"00"),"")</f>
      </c>
      <c r="D112" s="42">
        <f>IF(AND(Data!Q111&lt;&gt;"",Data!L111="Accept&amp;#233;"),Data!Q111,"")</f>
        <v>25569.041666666668</v>
      </c>
      <c r="E112" s="64">
        <f>IF(AND(Data!R111&lt;&gt;"",Data!L111="Accept&amp;#233;"),Data!R111,"")</f>
      </c>
      <c r="F112" s="65">
        <f>IF(AND(Data!R111&lt;&gt;"",Data!L111="Accept&amp;#233;"),Data!S111,"")</f>
      </c>
      <c r="G112" s="66">
        <f>IF(Data!R111='Delivery Plan'!E112,Data!U111,"")</f>
      </c>
      <c r="H112" s="53"/>
      <c r="I112" s="63">
        <f>IF(J112&lt;&gt;"","S"&amp;TEXT(WEEKNUM(J112),"00"),"")</f>
      </c>
      <c r="J112" s="42">
        <f>IF(AND(E112=Data!R111,Data!AA111&lt;&gt;""),Data!AA111,"")</f>
        <v>25569.041666666668</v>
      </c>
      <c r="K112" s="67">
        <f>IF(AND(E112=Data!R111,Data!AE111&lt;&gt;""),Data!AE111,"")</f>
        <v>25569.041666666668</v>
      </c>
      <c r="L112" s="68">
        <f>IF(E112=Data!R111,Data!AI111,"")</f>
      </c>
      <c r="M112" s="68">
        <f>IF(E112=Data!R111,Data!AJ111,"")</f>
      </c>
      <c r="N112" s="69">
        <f>IF(AND(Data!R111&lt;&gt;"",Data!L111="Accept&amp;#233;"),Data!K111,"")</f>
      </c>
    </row>
    <row x14ac:dyDescent="0.25" r="113" customHeight="1" ht="19.5" hidden="1">
      <c r="A113" s="62">
        <f>IF(AND(Data!R112&lt;&gt;"",Data!L112="Accept&amp;#233;"),Data!G112,"")</f>
      </c>
      <c r="B113" s="62">
        <f>IF(AND(Data!R112&lt;&gt;"",Data!L112="Accept&amp;#233;"),Data!L112,"")</f>
      </c>
      <c r="C113" s="63">
        <f>IF(D113&lt;&gt;"","S"&amp;TEXT(WEEKNUM(D113),"00"),"")</f>
      </c>
      <c r="D113" s="42">
        <f>IF(AND(Data!Q112&lt;&gt;"",Data!L112="Accept&amp;#233;"),Data!Q112,"")</f>
        <v>25569.041666666668</v>
      </c>
      <c r="E113" s="64">
        <f>IF(AND(Data!R112&lt;&gt;"",Data!L112="Accept&amp;#233;"),Data!R112,"")</f>
      </c>
      <c r="F113" s="65">
        <f>IF(AND(Data!R112&lt;&gt;"",Data!L112="Accept&amp;#233;"),Data!S112,"")</f>
      </c>
      <c r="G113" s="66">
        <f>IF(Data!R112='Delivery Plan'!E113,Data!U112,"")</f>
      </c>
      <c r="H113" s="53"/>
      <c r="I113" s="63">
        <f>IF(J113&lt;&gt;"","S"&amp;TEXT(WEEKNUM(J113),"00"),"")</f>
      </c>
      <c r="J113" s="42">
        <f>IF(AND(E113=Data!R112,Data!AA112&lt;&gt;""),Data!AA112,"")</f>
        <v>25569.041666666668</v>
      </c>
      <c r="K113" s="67">
        <f>IF(AND(E113=Data!R112,Data!AE112&lt;&gt;""),Data!AE112,"")</f>
        <v>25569.041666666668</v>
      </c>
      <c r="L113" s="68">
        <f>IF(E113=Data!R112,Data!AI112,"")</f>
      </c>
      <c r="M113" s="68">
        <f>IF(E113=Data!R112,Data!AJ112,"")</f>
      </c>
      <c r="N113" s="69">
        <f>IF(AND(Data!R112&lt;&gt;"",Data!L112="Accept&amp;#233;"),Data!K112,"")</f>
      </c>
    </row>
    <row x14ac:dyDescent="0.25" r="114" customHeight="1" ht="19.5" hidden="1">
      <c r="A114" s="62">
        <f>IF(AND(Data!R113&lt;&gt;"",Data!L113="Accept&amp;#233;"),Data!G113,"")</f>
      </c>
      <c r="B114" s="62">
        <f>IF(AND(Data!R113&lt;&gt;"",Data!L113="Accept&amp;#233;"),Data!L113,"")</f>
      </c>
      <c r="C114" s="63">
        <f>IF(D114&lt;&gt;"","S"&amp;TEXT(WEEKNUM(D114),"00"),"")</f>
      </c>
      <c r="D114" s="42">
        <f>IF(AND(Data!Q113&lt;&gt;"",Data!L113="Accept&amp;#233;"),Data!Q113,"")</f>
        <v>25569.041666666668</v>
      </c>
      <c r="E114" s="64">
        <f>IF(AND(Data!R113&lt;&gt;"",Data!L113="Accept&amp;#233;"),Data!R113,"")</f>
      </c>
      <c r="F114" s="65">
        <f>IF(AND(Data!R113&lt;&gt;"",Data!L113="Accept&amp;#233;"),Data!S113,"")</f>
      </c>
      <c r="G114" s="66">
        <f>IF(Data!R113='Delivery Plan'!E114,Data!U113,"")</f>
      </c>
      <c r="H114" s="53"/>
      <c r="I114" s="63">
        <f>IF(J114&lt;&gt;"","S"&amp;TEXT(WEEKNUM(J114),"00"),"")</f>
      </c>
      <c r="J114" s="42">
        <f>IF(AND(E114=Data!R113,Data!AA113&lt;&gt;""),Data!AA113,"")</f>
        <v>25569.041666666668</v>
      </c>
      <c r="K114" s="67">
        <f>IF(AND(E114=Data!R113,Data!AE113&lt;&gt;""),Data!AE113,"")</f>
        <v>25569.041666666668</v>
      </c>
      <c r="L114" s="68">
        <f>IF(E114=Data!R113,Data!AI113,"")</f>
      </c>
      <c r="M114" s="68">
        <f>IF(E114=Data!R113,Data!AJ113,"")</f>
      </c>
      <c r="N114" s="69">
        <f>IF(AND(Data!R113&lt;&gt;"",Data!L113="Accept&amp;#233;"),Data!K113,"")</f>
      </c>
    </row>
    <row x14ac:dyDescent="0.25" r="115" customHeight="1" ht="19.5" hidden="1">
      <c r="A115" s="62">
        <f>IF(AND(Data!R114&lt;&gt;"",Data!L114="Accept&amp;#233;"),Data!G114,"")</f>
      </c>
      <c r="B115" s="62">
        <f>IF(AND(Data!R114&lt;&gt;"",Data!L114="Accept&amp;#233;"),Data!L114,"")</f>
      </c>
      <c r="C115" s="63">
        <f>IF(D115&lt;&gt;"","S"&amp;TEXT(WEEKNUM(D115),"00"),"")</f>
      </c>
      <c r="D115" s="42">
        <f>IF(AND(Data!Q114&lt;&gt;"",Data!L114="Accept&amp;#233;"),Data!Q114,"")</f>
        <v>25569.041666666668</v>
      </c>
      <c r="E115" s="64">
        <f>IF(AND(Data!R114&lt;&gt;"",Data!L114="Accept&amp;#233;"),Data!R114,"")</f>
      </c>
      <c r="F115" s="65">
        <f>IF(AND(Data!R114&lt;&gt;"",Data!L114="Accept&amp;#233;"),Data!S114,"")</f>
      </c>
      <c r="G115" s="66">
        <f>IF(Data!R114='Delivery Plan'!E115,Data!U114,"")</f>
      </c>
      <c r="H115" s="53"/>
      <c r="I115" s="63">
        <f>IF(J115&lt;&gt;"","S"&amp;TEXT(WEEKNUM(J115),"00"),"")</f>
      </c>
      <c r="J115" s="42">
        <f>IF(AND(E115=Data!R114,Data!AA114&lt;&gt;""),Data!AA114,"")</f>
        <v>25569.041666666668</v>
      </c>
      <c r="K115" s="67">
        <f>IF(AND(E115=Data!R114,Data!AE114&lt;&gt;""),Data!AE114,"")</f>
        <v>25569.041666666668</v>
      </c>
      <c r="L115" s="68">
        <f>IF(E115=Data!R114,Data!AI114,"")</f>
      </c>
      <c r="M115" s="68">
        <f>IF(E115=Data!R114,Data!AJ114,"")</f>
      </c>
      <c r="N115" s="69">
        <f>IF(AND(Data!R114&lt;&gt;"",Data!L114="Accept&amp;#233;"),Data!K114,"")</f>
      </c>
    </row>
    <row x14ac:dyDescent="0.25" r="116" customHeight="1" ht="19.5" hidden="1">
      <c r="A116" s="62">
        <f>IF(AND(Data!R115&lt;&gt;"",Data!L115="Accept&amp;#233;"),Data!G115,"")</f>
      </c>
      <c r="B116" s="62">
        <f>IF(AND(Data!R115&lt;&gt;"",Data!L115="Accept&amp;#233;"),Data!L115,"")</f>
      </c>
      <c r="C116" s="63">
        <f>IF(D116&lt;&gt;"","S"&amp;TEXT(WEEKNUM(D116),"00"),"")</f>
      </c>
      <c r="D116" s="42">
        <f>IF(AND(Data!Q115&lt;&gt;"",Data!L115="Accept&amp;#233;"),Data!Q115,"")</f>
        <v>25569.041666666668</v>
      </c>
      <c r="E116" s="64">
        <f>IF(AND(Data!R115&lt;&gt;"",Data!L115="Accept&amp;#233;"),Data!R115,"")</f>
      </c>
      <c r="F116" s="65">
        <f>IF(AND(Data!R115&lt;&gt;"",Data!L115="Accept&amp;#233;"),Data!S115,"")</f>
      </c>
      <c r="G116" s="66">
        <f>IF(Data!R115='Delivery Plan'!E116,Data!U115,"")</f>
      </c>
      <c r="H116" s="53"/>
      <c r="I116" s="63">
        <f>IF(J116&lt;&gt;"","S"&amp;TEXT(WEEKNUM(J116),"00"),"")</f>
      </c>
      <c r="J116" s="42">
        <f>IF(AND(E116=Data!R115,Data!AA115&lt;&gt;""),Data!AA115,"")</f>
        <v>25569.041666666668</v>
      </c>
      <c r="K116" s="67">
        <f>IF(AND(E116=Data!R115,Data!AE115&lt;&gt;""),Data!AE115,"")</f>
        <v>25569.041666666668</v>
      </c>
      <c r="L116" s="68">
        <f>IF(E116=Data!R115,Data!AI115,"")</f>
      </c>
      <c r="M116" s="68">
        <f>IF(E116=Data!R115,Data!AJ115,"")</f>
      </c>
      <c r="N116" s="69">
        <f>IF(AND(Data!R115&lt;&gt;"",Data!L115="Accept&amp;#233;"),Data!K115,"")</f>
      </c>
    </row>
    <row x14ac:dyDescent="0.25" r="117" customHeight="1" ht="19.5">
      <c r="A117" s="62">
        <f>IF(AND(Data!R116&lt;&gt;"",Data!L116="Accept&amp;#233;"),Data!G116,"")</f>
      </c>
      <c r="B117" s="62">
        <f>IF(AND(Data!R116&lt;&gt;"",Data!L116="Accept&amp;#233;"),Data!L116,"")</f>
      </c>
      <c r="C117" s="63">
        <f>IF(D117&lt;&gt;"","S"&amp;TEXT(WEEKNUM(D117),"00"),"")</f>
      </c>
      <c r="D117" s="42">
        <f>IF(AND(Data!Q116&lt;&gt;"",Data!L116="Accept&amp;#233;"),Data!Q116,"")</f>
        <v>25569.041666666668</v>
      </c>
      <c r="E117" s="64">
        <f>IF(AND(Data!R116&lt;&gt;"",Data!L116="Accept&amp;#233;"),Data!R116,"")</f>
      </c>
      <c r="F117" s="65">
        <f>IF(AND(Data!R116&lt;&gt;"",Data!L116="Accept&amp;#233;"),Data!S116,"")</f>
      </c>
      <c r="G117" s="66">
        <f>IF(Data!R116='Delivery Plan'!E117,Data!U116,"")</f>
      </c>
      <c r="H117" s="53"/>
      <c r="I117" s="63">
        <f>IF(J117&lt;&gt;"","S"&amp;TEXT(WEEKNUM(J117),"00"),"")</f>
      </c>
      <c r="J117" s="42">
        <f>IF(AND(E117=Data!R116,Data!AA116&lt;&gt;""),Data!AA116,"")</f>
        <v>25569.041666666668</v>
      </c>
      <c r="K117" s="67">
        <f>IF(AND(E117=Data!R116,Data!AE116&lt;&gt;""),Data!AE116,"")</f>
        <v>25569.041666666668</v>
      </c>
      <c r="L117" s="68">
        <f>IF(E117=Data!R116,Data!AI116,"")</f>
      </c>
      <c r="M117" s="68">
        <f>IF(E117=Data!R116,Data!AJ116,"")</f>
      </c>
      <c r="N117" s="69">
        <f>IF(AND(Data!R116&lt;&gt;"",Data!L116="Accept&amp;#233;"),Data!K116,"")</f>
      </c>
    </row>
    <row x14ac:dyDescent="0.25" r="118" customHeight="1" ht="19.5" hidden="1">
      <c r="A118" s="62">
        <f>IF(AND(Data!R117&lt;&gt;"",Data!L117="Accept&amp;#233;"),Data!G117,"")</f>
      </c>
      <c r="B118" s="62">
        <f>IF(AND(Data!R117&lt;&gt;"",Data!L117="Accept&amp;#233;"),Data!L117,"")</f>
      </c>
      <c r="C118" s="63">
        <f>IF(D118&lt;&gt;"","S"&amp;TEXT(WEEKNUM(D118),"00"),"")</f>
      </c>
      <c r="D118" s="42">
        <f>IF(AND(Data!Q117&lt;&gt;"",Data!L117="Accept&amp;#233;"),Data!Q117,"")</f>
        <v>25569.041666666668</v>
      </c>
      <c r="E118" s="64">
        <f>IF(AND(Data!R117&lt;&gt;"",Data!L117="Accept&amp;#233;"),Data!R117,"")</f>
      </c>
      <c r="F118" s="65">
        <f>IF(AND(Data!R117&lt;&gt;"",Data!L117="Accept&amp;#233;"),Data!S117,"")</f>
      </c>
      <c r="G118" s="66">
        <f>IF(Data!R117='Delivery Plan'!E118,Data!U117,"")</f>
      </c>
      <c r="H118" s="53"/>
      <c r="I118" s="63">
        <f>IF(J118&lt;&gt;"","S"&amp;TEXT(WEEKNUM(J118),"00"),"")</f>
      </c>
      <c r="J118" s="42">
        <f>IF(AND(E118=Data!R117,Data!AA117&lt;&gt;""),Data!AA117,"")</f>
        <v>25569.041666666668</v>
      </c>
      <c r="K118" s="67">
        <f>IF(AND(E118=Data!R117,Data!AE117&lt;&gt;""),Data!AE117,"")</f>
        <v>25569.041666666668</v>
      </c>
      <c r="L118" s="68">
        <f>IF(E118=Data!R117,Data!AI117,"")</f>
      </c>
      <c r="M118" s="68">
        <f>IF(E118=Data!R117,Data!AJ117,"")</f>
      </c>
      <c r="N118" s="69">
        <f>IF(AND(Data!R117&lt;&gt;"",Data!L117="Accept&amp;#233;"),Data!K117,"")</f>
      </c>
    </row>
    <row x14ac:dyDescent="0.25" r="119" customHeight="1" ht="19.5" hidden="1">
      <c r="A119" s="62">
        <f>IF(AND(Data!R118&lt;&gt;"",Data!L118="Accept&amp;#233;"),Data!G118,"")</f>
      </c>
      <c r="B119" s="62">
        <f>IF(AND(Data!R118&lt;&gt;"",Data!L118="Accept&amp;#233;"),Data!L118,"")</f>
      </c>
      <c r="C119" s="63">
        <f>IF(D119&lt;&gt;"","S"&amp;TEXT(WEEKNUM(D119),"00"),"")</f>
      </c>
      <c r="D119" s="42">
        <f>IF(AND(Data!Q118&lt;&gt;"",Data!L118="Accept&amp;#233;"),Data!Q118,"")</f>
        <v>25569.041666666668</v>
      </c>
      <c r="E119" s="64">
        <f>IF(AND(Data!R118&lt;&gt;"",Data!L118="Accept&amp;#233;"),Data!R118,"")</f>
      </c>
      <c r="F119" s="65">
        <f>IF(AND(Data!R118&lt;&gt;"",Data!L118="Accept&amp;#233;"),Data!S118,"")</f>
      </c>
      <c r="G119" s="66">
        <f>IF(Data!R118='Delivery Plan'!E119,Data!U118,"")</f>
      </c>
      <c r="H119" s="53"/>
      <c r="I119" s="63">
        <f>IF(J119&lt;&gt;"","S"&amp;TEXT(WEEKNUM(J119),"00"),"")</f>
      </c>
      <c r="J119" s="42">
        <f>IF(AND(E119=Data!R118,Data!AA118&lt;&gt;""),Data!AA118,"")</f>
        <v>25569.041666666668</v>
      </c>
      <c r="K119" s="67">
        <f>IF(AND(E119=Data!R118,Data!AE118&lt;&gt;""),Data!AE118,"")</f>
        <v>25569.041666666668</v>
      </c>
      <c r="L119" s="68">
        <f>IF(E119=Data!R118,Data!AI118,"")</f>
      </c>
      <c r="M119" s="68">
        <f>IF(E119=Data!R118,Data!AJ118,"")</f>
      </c>
      <c r="N119" s="69">
        <f>IF(AND(Data!R118&lt;&gt;"",Data!L118="Accept&amp;#233;"),Data!K118,"")</f>
      </c>
    </row>
    <row x14ac:dyDescent="0.25" r="120" customHeight="1" ht="19.5" hidden="1">
      <c r="A120" s="62">
        <f>IF(AND(Data!R119&lt;&gt;"",Data!L119="Accept&amp;#233;"),Data!G119,"")</f>
      </c>
      <c r="B120" s="62">
        <f>IF(AND(Data!R119&lt;&gt;"",Data!L119="Accept&amp;#233;"),Data!L119,"")</f>
      </c>
      <c r="C120" s="63">
        <f>IF(D120&lt;&gt;"","S"&amp;TEXT(WEEKNUM(D120),"00"),"")</f>
      </c>
      <c r="D120" s="42">
        <f>IF(AND(Data!Q119&lt;&gt;"",Data!L119="Accept&amp;#233;"),Data!Q119,"")</f>
        <v>25569.041666666668</v>
      </c>
      <c r="E120" s="64">
        <f>IF(AND(Data!R119&lt;&gt;"",Data!L119="Accept&amp;#233;"),Data!R119,"")</f>
      </c>
      <c r="F120" s="65">
        <f>IF(AND(Data!R119&lt;&gt;"",Data!L119="Accept&amp;#233;"),Data!S119,"")</f>
      </c>
      <c r="G120" s="66">
        <f>IF(Data!R119='Delivery Plan'!E120,Data!U119,"")</f>
      </c>
      <c r="H120" s="53"/>
      <c r="I120" s="63">
        <f>IF(J120&lt;&gt;"","S"&amp;TEXT(WEEKNUM(J120),"00"),"")</f>
      </c>
      <c r="J120" s="42">
        <f>IF(AND(E120=Data!R119,Data!AA119&lt;&gt;""),Data!AA119,"")</f>
        <v>25569.041666666668</v>
      </c>
      <c r="K120" s="67">
        <f>IF(AND(E120=Data!R119,Data!AE119&lt;&gt;""),Data!AE119,"")</f>
        <v>25569.041666666668</v>
      </c>
      <c r="L120" s="68">
        <f>IF(E120=Data!R119,Data!AI119,"")</f>
      </c>
      <c r="M120" s="68">
        <f>IF(E120=Data!R119,Data!AJ119,"")</f>
      </c>
      <c r="N120" s="69">
        <f>IF(AND(Data!R119&lt;&gt;"",Data!L119="Accept&amp;#233;"),Data!K119,"")</f>
      </c>
    </row>
    <row x14ac:dyDescent="0.25" r="121" customHeight="1" ht="19.5" hidden="1">
      <c r="A121" s="62">
        <f>IF(AND(Data!R120&lt;&gt;"",Data!L120="Accept&amp;#233;"),Data!G120,"")</f>
      </c>
      <c r="B121" s="62">
        <f>IF(AND(Data!R120&lt;&gt;"",Data!L120="Accept&amp;#233;"),Data!L120,"")</f>
      </c>
      <c r="C121" s="63">
        <f>IF(D121&lt;&gt;"","S"&amp;TEXT(WEEKNUM(D121),"00"),"")</f>
      </c>
      <c r="D121" s="42">
        <f>IF(AND(Data!Q120&lt;&gt;"",Data!L120="Accept&amp;#233;"),Data!Q120,"")</f>
        <v>25569.041666666668</v>
      </c>
      <c r="E121" s="64">
        <f>IF(AND(Data!R120&lt;&gt;"",Data!L120="Accept&amp;#233;"),Data!R120,"")</f>
      </c>
      <c r="F121" s="65">
        <f>IF(AND(Data!R120&lt;&gt;"",Data!L120="Accept&amp;#233;"),Data!S120,"")</f>
      </c>
      <c r="G121" s="66">
        <f>IF(Data!R120='Delivery Plan'!E121,Data!U120,"")</f>
      </c>
      <c r="H121" s="53"/>
      <c r="I121" s="63">
        <f>IF(J121&lt;&gt;"","S"&amp;TEXT(WEEKNUM(J121),"00"),"")</f>
      </c>
      <c r="J121" s="42">
        <f>IF(AND(E121=Data!R120,Data!AA120&lt;&gt;""),Data!AA120,"")</f>
        <v>25569.041666666668</v>
      </c>
      <c r="K121" s="67">
        <f>IF(AND(E121=Data!R120,Data!AE120&lt;&gt;""),Data!AE120,"")</f>
        <v>25569.041666666668</v>
      </c>
      <c r="L121" s="68">
        <f>IF(E121=Data!R120,Data!AI120,"")</f>
      </c>
      <c r="M121" s="68">
        <f>IF(E121=Data!R120,Data!AJ120,"")</f>
      </c>
      <c r="N121" s="69">
        <f>IF(AND(Data!R120&lt;&gt;"",Data!L120="Accept&amp;#233;"),Data!K120,"")</f>
      </c>
    </row>
    <row x14ac:dyDescent="0.25" r="122" customHeight="1" ht="19.5" hidden="1">
      <c r="A122" s="62">
        <f>IF(AND(Data!R121&lt;&gt;"",Data!L121="Accept&amp;#233;"),Data!G121,"")</f>
      </c>
      <c r="B122" s="62">
        <f>IF(AND(Data!R121&lt;&gt;"",Data!L121="Accept&amp;#233;"),Data!L121,"")</f>
      </c>
      <c r="C122" s="63">
        <f>IF(D122&lt;&gt;"","S"&amp;TEXT(WEEKNUM(D122),"00"),"")</f>
      </c>
      <c r="D122" s="42">
        <f>IF(AND(Data!Q121&lt;&gt;"",Data!L121="Accept&amp;#233;"),Data!Q121,"")</f>
        <v>25569.041666666668</v>
      </c>
      <c r="E122" s="64">
        <f>IF(AND(Data!R121&lt;&gt;"",Data!L121="Accept&amp;#233;"),Data!R121,"")</f>
      </c>
      <c r="F122" s="65">
        <f>IF(AND(Data!R121&lt;&gt;"",Data!L121="Accept&amp;#233;"),Data!S121,"")</f>
      </c>
      <c r="G122" s="66">
        <f>IF(Data!R121='Delivery Plan'!E122,Data!U121,"")</f>
      </c>
      <c r="H122" s="53"/>
      <c r="I122" s="63">
        <f>IF(J122&lt;&gt;"","S"&amp;TEXT(WEEKNUM(J122),"00"),"")</f>
      </c>
      <c r="J122" s="42">
        <f>IF(AND(E122=Data!R121,Data!AA121&lt;&gt;""),Data!AA121,"")</f>
        <v>25569.041666666668</v>
      </c>
      <c r="K122" s="67">
        <f>IF(AND(E122=Data!R121,Data!AE121&lt;&gt;""),Data!AE121,"")</f>
        <v>25569.041666666668</v>
      </c>
      <c r="L122" s="68">
        <f>IF(E122=Data!R121,Data!AI121,"")</f>
      </c>
      <c r="M122" s="68">
        <f>IF(E122=Data!R121,Data!AJ121,"")</f>
      </c>
      <c r="N122" s="69">
        <f>IF(AND(Data!R121&lt;&gt;"",Data!L121="Accept&amp;#233;"),Data!K121,"")</f>
      </c>
    </row>
    <row x14ac:dyDescent="0.25" r="123" customHeight="1" ht="19.5">
      <c r="A123" s="62">
        <f>IF(AND(Data!R122&lt;&gt;"",Data!L122="Accept&amp;#233;"),Data!G122,"")</f>
      </c>
      <c r="B123" s="62">
        <f>IF(AND(Data!R122&lt;&gt;"",Data!L122="Accept&amp;#233;"),Data!L122,"")</f>
      </c>
      <c r="C123" s="63">
        <f>IF(D123&lt;&gt;"","S"&amp;TEXT(WEEKNUM(D123),"00"),"")</f>
      </c>
      <c r="D123" s="42">
        <f>IF(AND(Data!Q122&lt;&gt;"",Data!L122="Accept&amp;#233;"),Data!Q122,"")</f>
        <v>25569.041666666668</v>
      </c>
      <c r="E123" s="64">
        <f>IF(AND(Data!R122&lt;&gt;"",Data!L122="Accept&amp;#233;"),Data!R122,"")</f>
      </c>
      <c r="F123" s="65">
        <f>IF(AND(Data!R122&lt;&gt;"",Data!L122="Accept&amp;#233;"),Data!S122,"")</f>
      </c>
      <c r="G123" s="66">
        <f>IF(Data!R122='Delivery Plan'!E123,Data!U122,"")</f>
      </c>
      <c r="H123" s="53"/>
      <c r="I123" s="63">
        <f>IF(J123&lt;&gt;"","S"&amp;TEXT(WEEKNUM(J123),"00"),"")</f>
      </c>
      <c r="J123" s="42">
        <f>IF(AND(E123=Data!R122,Data!AA122&lt;&gt;""),Data!AA122,"")</f>
        <v>25569.041666666668</v>
      </c>
      <c r="K123" s="67">
        <f>IF(AND(E123=Data!R122,Data!AE122&lt;&gt;""),Data!AE122,"")</f>
        <v>25569.041666666668</v>
      </c>
      <c r="L123" s="68">
        <f>IF(E123=Data!R122,Data!AI122,"")</f>
      </c>
      <c r="M123" s="68">
        <f>IF(E123=Data!R122,Data!AJ122,"")</f>
      </c>
      <c r="N123" s="69">
        <f>IF(AND(Data!R122&lt;&gt;"",Data!L122="Accept&amp;#233;"),Data!K122,"")</f>
      </c>
    </row>
    <row x14ac:dyDescent="0.25" r="124" customHeight="1" ht="19.5" hidden="1">
      <c r="A124" s="62">
        <f>IF(AND(Data!R123&lt;&gt;"",Data!L123="Accept&amp;#233;"),Data!G123,"")</f>
      </c>
      <c r="B124" s="62">
        <f>IF(AND(Data!R123&lt;&gt;"",Data!L123="Accept&amp;#233;"),Data!L123,"")</f>
      </c>
      <c r="C124" s="63">
        <f>IF(D124&lt;&gt;"","S"&amp;TEXT(WEEKNUM(D124),"00"),"")</f>
      </c>
      <c r="D124" s="42">
        <f>IF(AND(Data!Q123&lt;&gt;"",Data!L123="Accept&amp;#233;"),Data!Q123,"")</f>
        <v>25569.041666666668</v>
      </c>
      <c r="E124" s="64">
        <f>IF(AND(Data!R123&lt;&gt;"",Data!L123="Accept&amp;#233;"),Data!R123,"")</f>
      </c>
      <c r="F124" s="65">
        <f>IF(AND(Data!R123&lt;&gt;"",Data!L123="Accept&amp;#233;"),Data!S123,"")</f>
      </c>
      <c r="G124" s="66">
        <f>IF(Data!R123='Delivery Plan'!E124,Data!U123,"")</f>
      </c>
      <c r="H124" s="53"/>
      <c r="I124" s="63">
        <f>IF(J124&lt;&gt;"","S"&amp;TEXT(WEEKNUM(J124),"00"),"")</f>
      </c>
      <c r="J124" s="42">
        <f>IF(AND(E124=Data!R123,Data!AA123&lt;&gt;""),Data!AA123,"")</f>
        <v>25569.041666666668</v>
      </c>
      <c r="K124" s="67">
        <f>IF(AND(E124=Data!R123,Data!AE123&lt;&gt;""),Data!AE123,"")</f>
        <v>25569.041666666668</v>
      </c>
      <c r="L124" s="68">
        <f>IF(E124=Data!R123,Data!AI123,"")</f>
      </c>
      <c r="M124" s="68">
        <f>IF(E124=Data!R123,Data!AJ123,"")</f>
      </c>
      <c r="N124" s="69">
        <f>IF(AND(Data!R123&lt;&gt;"",Data!L123="Accept&amp;#233;"),Data!K123,"")</f>
      </c>
    </row>
    <row x14ac:dyDescent="0.25" r="125" customHeight="1" ht="19.5" hidden="1">
      <c r="A125" s="62">
        <f>IF(AND(Data!R124&lt;&gt;"",Data!L124="Accept&amp;#233;"),Data!G124,"")</f>
      </c>
      <c r="B125" s="62">
        <f>IF(AND(Data!R124&lt;&gt;"",Data!L124="Accept&amp;#233;"),Data!L124,"")</f>
      </c>
      <c r="C125" s="63">
        <f>IF(D125&lt;&gt;"","S"&amp;TEXT(WEEKNUM(D125),"00"),"")</f>
      </c>
      <c r="D125" s="42">
        <f>IF(AND(Data!Q124&lt;&gt;"",Data!L124="Accept&amp;#233;"),Data!Q124,"")</f>
        <v>25569.041666666668</v>
      </c>
      <c r="E125" s="64">
        <f>IF(AND(Data!R124&lt;&gt;"",Data!L124="Accept&amp;#233;"),Data!R124,"")</f>
      </c>
      <c r="F125" s="65">
        <f>IF(AND(Data!R124&lt;&gt;"",Data!L124="Accept&amp;#233;"),Data!S124,"")</f>
      </c>
      <c r="G125" s="66">
        <f>IF(Data!R124='Delivery Plan'!E125,Data!U124,"")</f>
      </c>
      <c r="H125" s="53"/>
      <c r="I125" s="63">
        <f>IF(J125&lt;&gt;"","S"&amp;TEXT(WEEKNUM(J125),"00"),"")</f>
      </c>
      <c r="J125" s="42">
        <f>IF(AND(E125=Data!R124,Data!AA124&lt;&gt;""),Data!AA124,"")</f>
        <v>25569.041666666668</v>
      </c>
      <c r="K125" s="67">
        <f>IF(AND(E125=Data!R124,Data!AE124&lt;&gt;""),Data!AE124,"")</f>
        <v>25569.041666666668</v>
      </c>
      <c r="L125" s="68">
        <f>IF(E125=Data!R124,Data!AI124,"")</f>
      </c>
      <c r="M125" s="68">
        <f>IF(E125=Data!R124,Data!AJ124,"")</f>
      </c>
      <c r="N125" s="69">
        <f>IF(AND(Data!R124&lt;&gt;"",Data!L124="Accept&amp;#233;"),Data!K124,"")</f>
      </c>
    </row>
    <row x14ac:dyDescent="0.25" r="126" customHeight="1" ht="19.5" hidden="1">
      <c r="A126" s="62">
        <f>IF(AND(Data!R125&lt;&gt;"",Data!L125="Accept&amp;#233;"),Data!G125,"")</f>
      </c>
      <c r="B126" s="62">
        <f>IF(AND(Data!R125&lt;&gt;"",Data!L125="Accept&amp;#233;"),Data!L125,"")</f>
      </c>
      <c r="C126" s="63">
        <f>IF(D126&lt;&gt;"","S"&amp;TEXT(WEEKNUM(D126),"00"),"")</f>
      </c>
      <c r="D126" s="42">
        <f>IF(AND(Data!Q125&lt;&gt;"",Data!L125="Accept&amp;#233;"),Data!Q125,"")</f>
        <v>25569.041666666668</v>
      </c>
      <c r="E126" s="64">
        <f>IF(AND(Data!R125&lt;&gt;"",Data!L125="Accept&amp;#233;"),Data!R125,"")</f>
      </c>
      <c r="F126" s="65">
        <f>IF(AND(Data!R125&lt;&gt;"",Data!L125="Accept&amp;#233;"),Data!S125,"")</f>
      </c>
      <c r="G126" s="66">
        <f>IF(Data!R125='Delivery Plan'!E126,Data!U125,"")</f>
      </c>
      <c r="H126" s="53"/>
      <c r="I126" s="63">
        <f>IF(J126&lt;&gt;"","S"&amp;TEXT(WEEKNUM(J126),"00"),"")</f>
      </c>
      <c r="J126" s="42">
        <f>IF(AND(E126=Data!R125,Data!AA125&lt;&gt;""),Data!AA125,"")</f>
        <v>25569.041666666668</v>
      </c>
      <c r="K126" s="67">
        <f>IF(AND(E126=Data!R125,Data!AE125&lt;&gt;""),Data!AE125,"")</f>
        <v>25569.041666666668</v>
      </c>
      <c r="L126" s="68">
        <f>IF(E126=Data!R125,Data!AI125,"")</f>
      </c>
      <c r="M126" s="68">
        <f>IF(E126=Data!R125,Data!AJ125,"")</f>
      </c>
      <c r="N126" s="69">
        <f>IF(AND(Data!R125&lt;&gt;"",Data!L125="Accept&amp;#233;"),Data!K125,"")</f>
      </c>
    </row>
    <row x14ac:dyDescent="0.25" r="127" customHeight="1" ht="19.5" hidden="1">
      <c r="A127" s="62">
        <f>IF(AND(Data!R126&lt;&gt;"",Data!L126="Accept&amp;#233;"),Data!G126,"")</f>
      </c>
      <c r="B127" s="62">
        <f>IF(AND(Data!R126&lt;&gt;"",Data!L126="Accept&amp;#233;"),Data!L126,"")</f>
      </c>
      <c r="C127" s="63">
        <f>IF(D127&lt;&gt;"","S"&amp;TEXT(WEEKNUM(D127),"00"),"")</f>
      </c>
      <c r="D127" s="42">
        <f>IF(AND(Data!Q126&lt;&gt;"",Data!L126="Accept&amp;#233;"),Data!Q126,"")</f>
        <v>25569.041666666668</v>
      </c>
      <c r="E127" s="64">
        <f>IF(AND(Data!R126&lt;&gt;"",Data!L126="Accept&amp;#233;"),Data!R126,"")</f>
      </c>
      <c r="F127" s="65">
        <f>IF(AND(Data!R126&lt;&gt;"",Data!L126="Accept&amp;#233;"),Data!S126,"")</f>
      </c>
      <c r="G127" s="66">
        <f>IF(Data!R126='Delivery Plan'!E127,Data!U126,"")</f>
      </c>
      <c r="H127" s="53"/>
      <c r="I127" s="63">
        <f>IF(J127&lt;&gt;"","S"&amp;TEXT(WEEKNUM(J127),"00"),"")</f>
      </c>
      <c r="J127" s="42">
        <f>IF(AND(E127=Data!R126,Data!AA126&lt;&gt;""),Data!AA126,"")</f>
        <v>25569.041666666668</v>
      </c>
      <c r="K127" s="67">
        <f>IF(AND(E127=Data!R126,Data!AE126&lt;&gt;""),Data!AE126,"")</f>
        <v>25569.041666666668</v>
      </c>
      <c r="L127" s="68">
        <f>IF(E127=Data!R126,Data!AI126,"")</f>
      </c>
      <c r="M127" s="68">
        <f>IF(E127=Data!R126,Data!AJ126,"")</f>
      </c>
      <c r="N127" s="69">
        <f>IF(AND(Data!R126&lt;&gt;"",Data!L126="Accept&amp;#233;"),Data!K126,"")</f>
      </c>
    </row>
    <row x14ac:dyDescent="0.25" r="128" customHeight="1" ht="19.5" hidden="1">
      <c r="A128" s="62">
        <f>IF(AND(Data!R127&lt;&gt;"",Data!L127="Accept&amp;#233;"),Data!G127,"")</f>
      </c>
      <c r="B128" s="62">
        <f>IF(AND(Data!R127&lt;&gt;"",Data!L127="Accept&amp;#233;"),Data!L127,"")</f>
      </c>
      <c r="C128" s="63">
        <f>IF(D128&lt;&gt;"","S"&amp;TEXT(WEEKNUM(D128),"00"),"")</f>
      </c>
      <c r="D128" s="42">
        <f>IF(AND(Data!Q127&lt;&gt;"",Data!L127="Accept&amp;#233;"),Data!Q127,"")</f>
        <v>25569.041666666668</v>
      </c>
      <c r="E128" s="64">
        <f>IF(AND(Data!R127&lt;&gt;"",Data!L127="Accept&amp;#233;"),Data!R127,"")</f>
      </c>
      <c r="F128" s="65">
        <f>IF(AND(Data!R127&lt;&gt;"",Data!L127="Accept&amp;#233;"),Data!S127,"")</f>
      </c>
      <c r="G128" s="66">
        <f>IF(Data!R127='Delivery Plan'!E128,Data!U127,"")</f>
      </c>
      <c r="H128" s="53"/>
      <c r="I128" s="63">
        <f>IF(J128&lt;&gt;"","S"&amp;TEXT(WEEKNUM(J128),"00"),"")</f>
      </c>
      <c r="J128" s="42">
        <f>IF(AND(E128=Data!R127,Data!AA127&lt;&gt;""),Data!AA127,"")</f>
        <v>25569.041666666668</v>
      </c>
      <c r="K128" s="67">
        <f>IF(AND(E128=Data!R127,Data!AE127&lt;&gt;""),Data!AE127,"")</f>
        <v>25569.041666666668</v>
      </c>
      <c r="L128" s="68">
        <f>IF(E128=Data!R127,Data!AI127,"")</f>
      </c>
      <c r="M128" s="68">
        <f>IF(E128=Data!R127,Data!AJ127,"")</f>
      </c>
      <c r="N128" s="69">
        <f>IF(AND(Data!R127&lt;&gt;"",Data!L127="Accept&amp;#233;"),Data!K127,"")</f>
      </c>
    </row>
    <row x14ac:dyDescent="0.25" r="129" customHeight="1" ht="19.5">
      <c r="A129" s="62">
        <f>IF(AND(Data!R128&lt;&gt;"",Data!L128="Accept&amp;#233;"),Data!G128,"")</f>
      </c>
      <c r="B129" s="62">
        <f>IF(AND(Data!R128&lt;&gt;"",Data!L128="Accept&amp;#233;"),Data!L128,"")</f>
      </c>
      <c r="C129" s="63">
        <f>IF(D129&lt;&gt;"","S"&amp;TEXT(WEEKNUM(D129),"00"),"")</f>
      </c>
      <c r="D129" s="42">
        <f>IF(AND(Data!Q128&lt;&gt;"",Data!L128="Accept&amp;#233;"),Data!Q128,"")</f>
        <v>25569.041666666668</v>
      </c>
      <c r="E129" s="64">
        <f>IF(AND(Data!R128&lt;&gt;"",Data!L128="Accept&amp;#233;"),Data!R128,"")</f>
      </c>
      <c r="F129" s="65">
        <f>IF(AND(Data!R128&lt;&gt;"",Data!L128="Accept&amp;#233;"),Data!S128,"")</f>
      </c>
      <c r="G129" s="66">
        <f>IF(Data!R128='Delivery Plan'!E129,Data!U128,"")</f>
      </c>
      <c r="H129" s="53"/>
      <c r="I129" s="63">
        <f>IF(J129&lt;&gt;"","S"&amp;TEXT(WEEKNUM(J129),"00"),"")</f>
      </c>
      <c r="J129" s="42">
        <f>IF(AND(E129=Data!R128,Data!AA128&lt;&gt;""),Data!AA128,"")</f>
        <v>25569.041666666668</v>
      </c>
      <c r="K129" s="67">
        <f>IF(AND(E129=Data!R128,Data!AE128&lt;&gt;""),Data!AE128,"")</f>
        <v>25569.041666666668</v>
      </c>
      <c r="L129" s="68">
        <f>IF(E129=Data!R128,Data!AI128,"")</f>
      </c>
      <c r="M129" s="68">
        <f>IF(E129=Data!R128,Data!AJ128,"")</f>
      </c>
      <c r="N129" s="69">
        <f>IF(AND(Data!R128&lt;&gt;"",Data!L128="Accept&amp;#233;"),Data!K128,"")</f>
      </c>
    </row>
    <row x14ac:dyDescent="0.25" r="130" customHeight="1" ht="19.5" hidden="1">
      <c r="A130" s="62">
        <f>IF(AND(Data!R129&lt;&gt;"",Data!L129="Accept&amp;#233;"),Data!G129,"")</f>
      </c>
      <c r="B130" s="62">
        <f>IF(AND(Data!R129&lt;&gt;"",Data!L129="Accept&amp;#233;"),Data!L129,"")</f>
      </c>
      <c r="C130" s="63">
        <f>IF(D130&lt;&gt;"","S"&amp;TEXT(WEEKNUM(D130),"00"),"")</f>
      </c>
      <c r="D130" s="42">
        <f>IF(AND(Data!Q129&lt;&gt;"",Data!L129="Accept&amp;#233;"),Data!Q129,"")</f>
        <v>25569.041666666668</v>
      </c>
      <c r="E130" s="64">
        <f>IF(AND(Data!R129&lt;&gt;"",Data!L129="Accept&amp;#233;"),Data!R129,"")</f>
      </c>
      <c r="F130" s="65">
        <f>IF(AND(Data!R129&lt;&gt;"",Data!L129="Accept&amp;#233;"),Data!S129,"")</f>
      </c>
      <c r="G130" s="66">
        <f>IF(Data!R129='Delivery Plan'!E130,Data!U129,"")</f>
      </c>
      <c r="H130" s="53"/>
      <c r="I130" s="63">
        <f>IF(J130&lt;&gt;"","S"&amp;TEXT(WEEKNUM(J130),"00"),"")</f>
      </c>
      <c r="J130" s="42">
        <f>IF(AND(E130=Data!R129,Data!AA129&lt;&gt;""),Data!AA129,"")</f>
        <v>25569.041666666668</v>
      </c>
      <c r="K130" s="67">
        <f>IF(AND(E130=Data!R129,Data!AE129&lt;&gt;""),Data!AE129,"")</f>
        <v>25569.041666666668</v>
      </c>
      <c r="L130" s="68">
        <f>IF(E130=Data!R129,Data!AI129,"")</f>
      </c>
      <c r="M130" s="68">
        <f>IF(E130=Data!R129,Data!AJ129,"")</f>
      </c>
      <c r="N130" s="69">
        <f>IF(AND(Data!R129&lt;&gt;"",Data!L129="Accept&amp;#233;"),Data!K129,"")</f>
      </c>
    </row>
    <row x14ac:dyDescent="0.25" r="131" customHeight="1" ht="19.5" hidden="1">
      <c r="A131" s="62">
        <f>IF(AND(Data!R130&lt;&gt;"",Data!L130="Accept&amp;#233;"),Data!G130,"")</f>
      </c>
      <c r="B131" s="62">
        <f>IF(AND(Data!R130&lt;&gt;"",Data!L130="Accept&amp;#233;"),Data!L130,"")</f>
      </c>
      <c r="C131" s="63">
        <f>IF(D131&lt;&gt;"","S"&amp;TEXT(WEEKNUM(D131),"00"),"")</f>
      </c>
      <c r="D131" s="42">
        <f>IF(AND(Data!Q130&lt;&gt;"",Data!L130="Accept&amp;#233;"),Data!Q130,"")</f>
        <v>25569.041666666668</v>
      </c>
      <c r="E131" s="64">
        <f>IF(AND(Data!R130&lt;&gt;"",Data!L130="Accept&amp;#233;"),Data!R130,"")</f>
      </c>
      <c r="F131" s="65">
        <f>IF(AND(Data!R130&lt;&gt;"",Data!L130="Accept&amp;#233;"),Data!S130,"")</f>
      </c>
      <c r="G131" s="66">
        <f>IF(Data!R130='Delivery Plan'!E131,Data!U130,"")</f>
      </c>
      <c r="H131" s="53"/>
      <c r="I131" s="63">
        <f>IF(J131&lt;&gt;"","S"&amp;TEXT(WEEKNUM(J131),"00"),"")</f>
      </c>
      <c r="J131" s="42">
        <f>IF(AND(E131=Data!R130,Data!AA130&lt;&gt;""),Data!AA130,"")</f>
        <v>25569.041666666668</v>
      </c>
      <c r="K131" s="67">
        <f>IF(AND(E131=Data!R130,Data!AE130&lt;&gt;""),Data!AE130,"")</f>
        <v>25569.041666666668</v>
      </c>
      <c r="L131" s="68">
        <f>IF(E131=Data!R130,Data!AI130,"")</f>
      </c>
      <c r="M131" s="68">
        <f>IF(E131=Data!R130,Data!AJ130,"")</f>
      </c>
      <c r="N131" s="69">
        <f>IF(AND(Data!R130&lt;&gt;"",Data!L130="Accept&amp;#233;"),Data!K130,"")</f>
      </c>
    </row>
    <row x14ac:dyDescent="0.25" r="132" customHeight="1" ht="19.5" hidden="1">
      <c r="A132" s="62">
        <f>IF(AND(Data!R131&lt;&gt;"",Data!L131="Accept&amp;#233;"),Data!G131,"")</f>
      </c>
      <c r="B132" s="62">
        <f>IF(AND(Data!R131&lt;&gt;"",Data!L131="Accept&amp;#233;"),Data!L131,"")</f>
      </c>
      <c r="C132" s="63">
        <f>IF(D132&lt;&gt;"","S"&amp;TEXT(WEEKNUM(D132),"00"),"")</f>
      </c>
      <c r="D132" s="42">
        <f>IF(AND(Data!Q131&lt;&gt;"",Data!L131="Accept&amp;#233;"),Data!Q131,"")</f>
        <v>25569.041666666668</v>
      </c>
      <c r="E132" s="64">
        <f>IF(AND(Data!R131&lt;&gt;"",Data!L131="Accept&amp;#233;"),Data!R131,"")</f>
      </c>
      <c r="F132" s="65">
        <f>IF(AND(Data!R131&lt;&gt;"",Data!L131="Accept&amp;#233;"),Data!S131,"")</f>
      </c>
      <c r="G132" s="66">
        <f>IF(Data!R131='Delivery Plan'!E132,Data!U131,"")</f>
      </c>
      <c r="H132" s="53"/>
      <c r="I132" s="63">
        <f>IF(J132&lt;&gt;"","S"&amp;TEXT(WEEKNUM(J132),"00"),"")</f>
      </c>
      <c r="J132" s="42">
        <f>IF(AND(E132=Data!R131,Data!AA131&lt;&gt;""),Data!AA131,"")</f>
        <v>25569.041666666668</v>
      </c>
      <c r="K132" s="67">
        <f>IF(AND(E132=Data!R131,Data!AE131&lt;&gt;""),Data!AE131,"")</f>
        <v>25569.041666666668</v>
      </c>
      <c r="L132" s="68">
        <f>IF(E132=Data!R131,Data!AI131,"")</f>
      </c>
      <c r="M132" s="68">
        <f>IF(E132=Data!R131,Data!AJ131,"")</f>
      </c>
      <c r="N132" s="69">
        <f>IF(AND(Data!R131&lt;&gt;"",Data!L131="Accept&amp;#233;"),Data!K131,"")</f>
      </c>
    </row>
    <row x14ac:dyDescent="0.25" r="133" customHeight="1" ht="19.5" hidden="1">
      <c r="A133" s="62">
        <f>IF(AND(Data!R132&lt;&gt;"",Data!L132="Accept&amp;#233;"),Data!G132,"")</f>
      </c>
      <c r="B133" s="62">
        <f>IF(AND(Data!R132&lt;&gt;"",Data!L132="Accept&amp;#233;"),Data!L132,"")</f>
      </c>
      <c r="C133" s="63">
        <f>IF(D133&lt;&gt;"","S"&amp;TEXT(WEEKNUM(D133),"00"),"")</f>
      </c>
      <c r="D133" s="42">
        <f>IF(AND(Data!Q132&lt;&gt;"",Data!L132="Accept&amp;#233;"),Data!Q132,"")</f>
        <v>25569.041666666668</v>
      </c>
      <c r="E133" s="64">
        <f>IF(AND(Data!R132&lt;&gt;"",Data!L132="Accept&amp;#233;"),Data!R132,"")</f>
      </c>
      <c r="F133" s="65">
        <f>IF(AND(Data!R132&lt;&gt;"",Data!L132="Accept&amp;#233;"),Data!S132,"")</f>
      </c>
      <c r="G133" s="66">
        <f>IF(Data!R132='Delivery Plan'!E133,Data!U132,"")</f>
      </c>
      <c r="H133" s="53"/>
      <c r="I133" s="63">
        <f>IF(J133&lt;&gt;"","S"&amp;TEXT(WEEKNUM(J133),"00"),"")</f>
      </c>
      <c r="J133" s="42">
        <f>IF(AND(E133=Data!R132,Data!AA132&lt;&gt;""),Data!AA132,"")</f>
        <v>25569.041666666668</v>
      </c>
      <c r="K133" s="67">
        <f>IF(AND(E133=Data!R132,Data!AE132&lt;&gt;""),Data!AE132,"")</f>
        <v>25569.041666666668</v>
      </c>
      <c r="L133" s="68">
        <f>IF(E133=Data!R132,Data!AI132,"")</f>
      </c>
      <c r="M133" s="68">
        <f>IF(E133=Data!R132,Data!AJ132,"")</f>
      </c>
      <c r="N133" s="69">
        <f>IF(AND(Data!R132&lt;&gt;"",Data!L132="Accept&amp;#233;"),Data!K132,"")</f>
      </c>
    </row>
    <row x14ac:dyDescent="0.25" r="134" customHeight="1" ht="19.5" hidden="1">
      <c r="A134" s="62">
        <f>IF(AND(Data!R133&lt;&gt;"",Data!L133="Accept&amp;#233;"),Data!G133,"")</f>
      </c>
      <c r="B134" s="62">
        <f>IF(AND(Data!R133&lt;&gt;"",Data!L133="Accept&amp;#233;"),Data!L133,"")</f>
      </c>
      <c r="C134" s="63">
        <f>IF(D134&lt;&gt;"","S"&amp;TEXT(WEEKNUM(D134),"00"),"")</f>
      </c>
      <c r="D134" s="42">
        <f>IF(AND(Data!Q133&lt;&gt;"",Data!L133="Accept&amp;#233;"),Data!Q133,"")</f>
        <v>25569.041666666668</v>
      </c>
      <c r="E134" s="64">
        <f>IF(AND(Data!R133&lt;&gt;"",Data!L133="Accept&amp;#233;"),Data!R133,"")</f>
      </c>
      <c r="F134" s="65">
        <f>IF(AND(Data!R133&lt;&gt;"",Data!L133="Accept&amp;#233;"),Data!S133,"")</f>
      </c>
      <c r="G134" s="66">
        <f>IF(Data!R133='Delivery Plan'!E134,Data!U133,"")</f>
      </c>
      <c r="H134" s="53"/>
      <c r="I134" s="63">
        <f>IF(J134&lt;&gt;"","S"&amp;TEXT(WEEKNUM(J134),"00"),"")</f>
      </c>
      <c r="J134" s="42">
        <f>IF(AND(E134=Data!R133,Data!AA133&lt;&gt;""),Data!AA133,"")</f>
        <v>25569.041666666668</v>
      </c>
      <c r="K134" s="67">
        <f>IF(AND(E134=Data!R133,Data!AE133&lt;&gt;""),Data!AE133,"")</f>
        <v>25569.041666666668</v>
      </c>
      <c r="L134" s="68">
        <f>IF(E134=Data!R133,Data!AI133,"")</f>
      </c>
      <c r="M134" s="68">
        <f>IF(E134=Data!R133,Data!AJ133,"")</f>
      </c>
      <c r="N134" s="69">
        <f>IF(AND(Data!R133&lt;&gt;"",Data!L133="Accept&amp;#233;"),Data!K133,"")</f>
      </c>
    </row>
    <row x14ac:dyDescent="0.25" r="135" customHeight="1" ht="19.5" hidden="1">
      <c r="A135" s="62">
        <f>IF(AND(Data!R134&lt;&gt;"",Data!L134="Accept&amp;#233;"),Data!G134,"")</f>
      </c>
      <c r="B135" s="62">
        <f>IF(AND(Data!R134&lt;&gt;"",Data!L134="Accept&amp;#233;"),Data!L134,"")</f>
      </c>
      <c r="C135" s="63">
        <f>IF(D135&lt;&gt;"","S"&amp;TEXT(WEEKNUM(D135),"00"),"")</f>
      </c>
      <c r="D135" s="42">
        <f>IF(AND(Data!Q134&lt;&gt;"",Data!L134="Accept&amp;#233;"),Data!Q134,"")</f>
        <v>25569.041666666668</v>
      </c>
      <c r="E135" s="64">
        <f>IF(AND(Data!R134&lt;&gt;"",Data!L134="Accept&amp;#233;"),Data!R134,"")</f>
      </c>
      <c r="F135" s="65">
        <f>IF(AND(Data!R134&lt;&gt;"",Data!L134="Accept&amp;#233;"),Data!S134,"")</f>
      </c>
      <c r="G135" s="66">
        <f>IF(Data!R134='Delivery Plan'!E135,Data!U134,"")</f>
      </c>
      <c r="H135" s="53"/>
      <c r="I135" s="63">
        <f>IF(J135&lt;&gt;"","S"&amp;TEXT(WEEKNUM(J135),"00"),"")</f>
      </c>
      <c r="J135" s="42">
        <f>IF(AND(E135=Data!R134,Data!AA134&lt;&gt;""),Data!AA134,"")</f>
        <v>25569.041666666668</v>
      </c>
      <c r="K135" s="67">
        <f>IF(AND(E135=Data!R134,Data!AE134&lt;&gt;""),Data!AE134,"")</f>
        <v>25569.041666666668</v>
      </c>
      <c r="L135" s="68">
        <f>IF(E135=Data!R134,Data!AI134,"")</f>
      </c>
      <c r="M135" s="68">
        <f>IF(E135=Data!R134,Data!AJ134,"")</f>
      </c>
      <c r="N135" s="69">
        <f>IF(AND(Data!R134&lt;&gt;"",Data!L134="Accept&amp;#233;"),Data!K134,"")</f>
      </c>
    </row>
    <row x14ac:dyDescent="0.25" r="136" customHeight="1" ht="19.5">
      <c r="A136" s="62">
        <f>IF(AND(Data!R135&lt;&gt;"",Data!L135="Accept&amp;#233;"),Data!G135,"")</f>
      </c>
      <c r="B136" s="62">
        <f>IF(AND(Data!R135&lt;&gt;"",Data!L135="Accept&amp;#233;"),Data!L135,"")</f>
      </c>
      <c r="C136" s="63">
        <f>IF(D136&lt;&gt;"","S"&amp;TEXT(WEEKNUM(D136),"00"),"")</f>
      </c>
      <c r="D136" s="42">
        <f>IF(AND(Data!Q135&lt;&gt;"",Data!L135="Accept&amp;#233;"),Data!Q135,"")</f>
        <v>25569.041666666668</v>
      </c>
      <c r="E136" s="64">
        <f>IF(AND(Data!R135&lt;&gt;"",Data!L135="Accept&amp;#233;"),Data!R135,"")</f>
      </c>
      <c r="F136" s="65">
        <f>IF(AND(Data!R135&lt;&gt;"",Data!L135="Accept&amp;#233;"),Data!S135,"")</f>
      </c>
      <c r="G136" s="66">
        <f>IF(Data!R135='Delivery Plan'!E136,Data!U135,"")</f>
      </c>
      <c r="H136" s="53"/>
      <c r="I136" s="63">
        <f>IF(J136&lt;&gt;"","S"&amp;TEXT(WEEKNUM(J136),"00"),"")</f>
      </c>
      <c r="J136" s="42">
        <f>IF(AND(E136=Data!R135,Data!AA135&lt;&gt;""),Data!AA135,"")</f>
        <v>25569.041666666668</v>
      </c>
      <c r="K136" s="67">
        <f>IF(AND(E136=Data!R135,Data!AE135&lt;&gt;""),Data!AE135,"")</f>
        <v>25569.041666666668</v>
      </c>
      <c r="L136" s="68">
        <f>IF(E136=Data!R135,Data!AI135,"")</f>
      </c>
      <c r="M136" s="68">
        <f>IF(E136=Data!R135,Data!AJ135,"")</f>
      </c>
      <c r="N136" s="69">
        <f>IF(AND(Data!R135&lt;&gt;"",Data!L135="Accept&amp;#233;"),Data!K135,"")</f>
      </c>
    </row>
    <row x14ac:dyDescent="0.25" r="137" customHeight="1" ht="19.5" hidden="1">
      <c r="A137" s="62">
        <f>IF(AND(Data!R136&lt;&gt;"",Data!L136="Accept&amp;#233;"),Data!G136,"")</f>
      </c>
      <c r="B137" s="62">
        <f>IF(AND(Data!R136&lt;&gt;"",Data!L136="Accept&amp;#233;"),Data!L136,"")</f>
      </c>
      <c r="C137" s="63">
        <f>IF(D137&lt;&gt;"","S"&amp;TEXT(WEEKNUM(D137),"00"),"")</f>
      </c>
      <c r="D137" s="42">
        <f>IF(AND(Data!Q136&lt;&gt;"",Data!L136="Accept&amp;#233;"),Data!Q136,"")</f>
        <v>25569.041666666668</v>
      </c>
      <c r="E137" s="64">
        <f>IF(AND(Data!R136&lt;&gt;"",Data!L136="Accept&amp;#233;"),Data!R136,"")</f>
      </c>
      <c r="F137" s="65">
        <f>IF(AND(Data!R136&lt;&gt;"",Data!L136="Accept&amp;#233;"),Data!S136,"")</f>
      </c>
      <c r="G137" s="66">
        <f>IF(Data!R136='Delivery Plan'!E137,Data!U136,"")</f>
      </c>
      <c r="H137" s="53"/>
      <c r="I137" s="63">
        <f>IF(J137&lt;&gt;"","S"&amp;TEXT(WEEKNUM(J137),"00"),"")</f>
      </c>
      <c r="J137" s="42">
        <f>IF(AND(E137=Data!R136,Data!AA136&lt;&gt;""),Data!AA136,"")</f>
        <v>25569.041666666668</v>
      </c>
      <c r="K137" s="67">
        <f>IF(AND(E137=Data!R136,Data!AE136&lt;&gt;""),Data!AE136,"")</f>
        <v>25569.041666666668</v>
      </c>
      <c r="L137" s="68">
        <f>IF(E137=Data!R136,Data!AI136,"")</f>
      </c>
      <c r="M137" s="68">
        <f>IF(E137=Data!R136,Data!AJ136,"")</f>
      </c>
      <c r="N137" s="69">
        <f>IF(AND(Data!R136&lt;&gt;"",Data!L136="Accept&amp;#233;"),Data!K136,"")</f>
      </c>
    </row>
    <row x14ac:dyDescent="0.25" r="138" customHeight="1" ht="19.5" hidden="1">
      <c r="A138" s="62">
        <f>IF(AND(Data!R137&lt;&gt;"",Data!L137="Accept&amp;#233;"),Data!G137,"")</f>
      </c>
      <c r="B138" s="62">
        <f>IF(AND(Data!R137&lt;&gt;"",Data!L137="Accept&amp;#233;"),Data!L137,"")</f>
      </c>
      <c r="C138" s="63">
        <f>IF(D138&lt;&gt;"","S"&amp;TEXT(WEEKNUM(D138),"00"),"")</f>
      </c>
      <c r="D138" s="42">
        <f>IF(AND(Data!Q137&lt;&gt;"",Data!L137="Accept&amp;#233;"),Data!Q137,"")</f>
        <v>25569.041666666668</v>
      </c>
      <c r="E138" s="64">
        <f>IF(AND(Data!R137&lt;&gt;"",Data!L137="Accept&amp;#233;"),Data!R137,"")</f>
      </c>
      <c r="F138" s="65">
        <f>IF(AND(Data!R137&lt;&gt;"",Data!L137="Accept&amp;#233;"),Data!S137,"")</f>
      </c>
      <c r="G138" s="66">
        <f>IF(Data!R137='Delivery Plan'!E138,Data!U137,"")</f>
      </c>
      <c r="H138" s="53"/>
      <c r="I138" s="63">
        <f>IF(J138&lt;&gt;"","S"&amp;TEXT(WEEKNUM(J138),"00"),"")</f>
      </c>
      <c r="J138" s="42">
        <f>IF(AND(E138=Data!R137,Data!AA137&lt;&gt;""),Data!AA137,"")</f>
        <v>25569.041666666668</v>
      </c>
      <c r="K138" s="67">
        <f>IF(AND(E138=Data!R137,Data!AE137&lt;&gt;""),Data!AE137,"")</f>
        <v>25569.041666666668</v>
      </c>
      <c r="L138" s="68">
        <f>IF(E138=Data!R137,Data!AI137,"")</f>
      </c>
      <c r="M138" s="68">
        <f>IF(E138=Data!R137,Data!AJ137,"")</f>
      </c>
      <c r="N138" s="69">
        <f>IF(AND(Data!R137&lt;&gt;"",Data!L137="Accept&amp;#233;"),Data!K137,"")</f>
      </c>
    </row>
    <row x14ac:dyDescent="0.25" r="139" customHeight="1" ht="19.5" hidden="1">
      <c r="A139" s="62">
        <f>IF(AND(Data!#REF!&lt;&gt;"",Data!#REF!="Accept&amp;#233;"),Data!#REF!,"")</f>
      </c>
      <c r="B139" s="62">
        <f>IF(AND(Data!#REF!&lt;&gt;"",Data!#REF!="Accept&amp;#233;"),Data!#REF!,"")</f>
      </c>
      <c r="C139" s="63">
        <f>IF(D139&lt;&gt;"","S"&amp;TEXT(WEEKNUM(D139),"00"),"")</f>
      </c>
      <c r="D139" s="42">
        <f>IF(AND(Data!#REF!&lt;&gt;"",Data!#REF!="Accept&amp;#233;"),Data!#REF!,"")</f>
        <v>25569.041666666668</v>
      </c>
      <c r="E139" s="64">
        <f>IF(AND(Data!#REF!&lt;&gt;"",Data!#REF!="Accept&amp;#233;"),Data!#REF!,"")</f>
      </c>
      <c r="F139" s="65">
        <f>IF(AND(Data!#REF!&lt;&gt;"",Data!#REF!="Accept&amp;#233;"),Data!#REF!,"")</f>
      </c>
      <c r="G139" s="66">
        <f>IF(Data!#REF!='Delivery Plan'!E139,Data!#REF!,"")</f>
      </c>
      <c r="H139" s="53"/>
      <c r="I139" s="63">
        <f>IF(J139&lt;&gt;"","S"&amp;TEXT(WEEKNUM(J139),"00"),"")</f>
      </c>
      <c r="J139" s="42">
        <f>IF(AND(E139=Data!#REF!,Data!#REF!&lt;&gt;""),Data!#REF!,"")</f>
        <v>25569.041666666668</v>
      </c>
      <c r="K139" s="67">
        <f>IF(AND(E139=Data!#REF!,Data!#REF!&lt;&gt;""),Data!#REF!,"")</f>
        <v>25569.041666666668</v>
      </c>
      <c r="L139" s="68">
        <f>IF(E139=Data!#REF!,Data!#REF!,"")</f>
      </c>
      <c r="M139" s="68">
        <f>IF(E139=Data!#REF!,Data!#REF!,"")</f>
      </c>
      <c r="N139" s="69">
        <f>IF(AND(Data!#REF!&lt;&gt;"",Data!#REF!="Accept&amp;#233;"),Data!#REF!,"")</f>
      </c>
    </row>
    <row x14ac:dyDescent="0.25" r="140" customHeight="1" ht="19.5" hidden="1">
      <c r="A140" s="62">
        <f>IF(AND(Data!#REF!&lt;&gt;"",Data!#REF!="Accept&amp;#233;"),Data!#REF!,"")</f>
      </c>
      <c r="B140" s="62">
        <f>IF(AND(Data!#REF!&lt;&gt;"",Data!#REF!="Accept&amp;#233;"),Data!#REF!,"")</f>
      </c>
      <c r="C140" s="63">
        <f>IF(D140&lt;&gt;"","S"&amp;TEXT(WEEKNUM(D140),"00"),"")</f>
      </c>
      <c r="D140" s="42">
        <f>IF(AND(Data!#REF!&lt;&gt;"",Data!#REF!="Accept&amp;#233;"),Data!#REF!,"")</f>
        <v>25569.041666666668</v>
      </c>
      <c r="E140" s="64">
        <f>IF(AND(Data!#REF!&lt;&gt;"",Data!#REF!="Accept&amp;#233;"),Data!#REF!,"")</f>
      </c>
      <c r="F140" s="65">
        <f>IF(AND(Data!#REF!&lt;&gt;"",Data!#REF!="Accept&amp;#233;"),Data!#REF!,"")</f>
      </c>
      <c r="G140" s="66">
        <f>IF(Data!#REF!='Delivery Plan'!E140,Data!#REF!,"")</f>
      </c>
      <c r="H140" s="53"/>
      <c r="I140" s="63">
        <f>IF(J140&lt;&gt;"","S"&amp;TEXT(WEEKNUM(J140),"00"),"")</f>
      </c>
      <c r="J140" s="42">
        <f>IF(AND(E140=Data!#REF!,Data!#REF!&lt;&gt;""),Data!#REF!,"")</f>
        <v>25569.041666666668</v>
      </c>
      <c r="K140" s="67">
        <f>IF(AND(E140=Data!#REF!,Data!#REF!&lt;&gt;""),Data!#REF!,"")</f>
        <v>25569.041666666668</v>
      </c>
      <c r="L140" s="68">
        <f>IF(E140=Data!#REF!,Data!#REF!,"")</f>
      </c>
      <c r="M140" s="68">
        <f>IF(E140=Data!#REF!,Data!#REF!,"")</f>
      </c>
      <c r="N140" s="69">
        <f>IF(AND(Data!#REF!&lt;&gt;"",Data!#REF!="Accept&amp;#233;"),Data!#REF!,"")</f>
      </c>
    </row>
    <row x14ac:dyDescent="0.25" r="141" customHeight="1" ht="19.5" hidden="1">
      <c r="A141" s="62">
        <f>IF(AND(Data!#REF!&lt;&gt;"",Data!#REF!="Accept&amp;#233;"),Data!#REF!,"")</f>
      </c>
      <c r="B141" s="62">
        <f>IF(AND(Data!#REF!&lt;&gt;"",Data!#REF!="Accept&amp;#233;"),Data!#REF!,"")</f>
      </c>
      <c r="C141" s="63">
        <f>IF(D141&lt;&gt;"","S"&amp;TEXT(WEEKNUM(D141),"00"),"")</f>
      </c>
      <c r="D141" s="42">
        <f>IF(AND(Data!#REF!&lt;&gt;"",Data!#REF!="Accept&amp;#233;"),Data!#REF!,"")</f>
        <v>25569.041666666668</v>
      </c>
      <c r="E141" s="64">
        <f>IF(AND(Data!#REF!&lt;&gt;"",Data!#REF!="Accept&amp;#233;"),Data!#REF!,"")</f>
      </c>
      <c r="F141" s="65">
        <f>IF(AND(Data!#REF!&lt;&gt;"",Data!#REF!="Accept&amp;#233;"),Data!#REF!,"")</f>
      </c>
      <c r="G141" s="66">
        <f>IF(Data!#REF!='Delivery Plan'!E141,Data!#REF!,"")</f>
      </c>
      <c r="H141" s="53"/>
      <c r="I141" s="63">
        <f>IF(J141&lt;&gt;"","S"&amp;TEXT(WEEKNUM(J141),"00"),"")</f>
      </c>
      <c r="J141" s="42">
        <f>IF(AND(E141=Data!#REF!,Data!#REF!&lt;&gt;""),Data!#REF!,"")</f>
        <v>25569.041666666668</v>
      </c>
      <c r="K141" s="67">
        <f>IF(AND(E141=Data!#REF!,Data!#REF!&lt;&gt;""),Data!#REF!,"")</f>
        <v>25569.041666666668</v>
      </c>
      <c r="L141" s="68">
        <f>IF(E141=Data!#REF!,Data!#REF!,"")</f>
      </c>
      <c r="M141" s="68">
        <f>IF(E141=Data!#REF!,Data!#REF!,"")</f>
      </c>
      <c r="N141" s="69">
        <f>IF(AND(Data!#REF!&lt;&gt;"",Data!#REF!="Accept&amp;#233;"),Data!#REF!,"")</f>
      </c>
    </row>
    <row x14ac:dyDescent="0.25" r="142" customHeight="1" ht="19.5" hidden="1">
      <c r="A142" s="62">
        <f>IF(AND(Data!#REF!&lt;&gt;"",Data!#REF!="Accept&amp;#233;"),Data!#REF!,"")</f>
      </c>
      <c r="B142" s="62">
        <f>IF(AND(Data!#REF!&lt;&gt;"",Data!#REF!="Accept&amp;#233;"),Data!#REF!,"")</f>
      </c>
      <c r="C142" s="63">
        <f>IF(D142&lt;&gt;"","S"&amp;TEXT(WEEKNUM(D142),"00"),"")</f>
      </c>
      <c r="D142" s="42">
        <f>IF(AND(Data!#REF!&lt;&gt;"",Data!#REF!="Accept&amp;#233;"),Data!#REF!,"")</f>
        <v>25569.041666666668</v>
      </c>
      <c r="E142" s="64">
        <f>IF(AND(Data!#REF!&lt;&gt;"",Data!#REF!="Accept&amp;#233;"),Data!#REF!,"")</f>
      </c>
      <c r="F142" s="65">
        <f>IF(AND(Data!#REF!&lt;&gt;"",Data!#REF!="Accept&amp;#233;"),Data!#REF!,"")</f>
      </c>
      <c r="G142" s="66">
        <f>IF(Data!#REF!='Delivery Plan'!E142,Data!#REF!,"")</f>
      </c>
      <c r="H142" s="53"/>
      <c r="I142" s="63">
        <f>IF(J142&lt;&gt;"","S"&amp;TEXT(WEEKNUM(J142),"00"),"")</f>
      </c>
      <c r="J142" s="42">
        <f>IF(AND(E142=Data!#REF!,Data!#REF!&lt;&gt;""),Data!#REF!,"")</f>
        <v>25569.041666666668</v>
      </c>
      <c r="K142" s="67">
        <f>IF(AND(E142=Data!#REF!,Data!#REF!&lt;&gt;""),Data!#REF!,"")</f>
        <v>25569.041666666668</v>
      </c>
      <c r="L142" s="68">
        <f>IF(E142=Data!#REF!,Data!#REF!,"")</f>
      </c>
      <c r="M142" s="68">
        <f>IF(E142=Data!#REF!,Data!#REF!,"")</f>
      </c>
      <c r="N142" s="69">
        <f>IF(AND(Data!#REF!&lt;&gt;"",Data!#REF!="Accept&amp;#233;"),Data!#REF!,"")</f>
      </c>
    </row>
    <row x14ac:dyDescent="0.25" r="143" customHeight="1" ht="19.5" hidden="1">
      <c r="A143" s="62">
        <f>IF(AND(Data!#REF!&lt;&gt;"",Data!#REF!="Accept&amp;#233;"),Data!#REF!,"")</f>
      </c>
      <c r="B143" s="62">
        <f>IF(AND(Data!#REF!&lt;&gt;"",Data!#REF!="Accept&amp;#233;"),Data!#REF!,"")</f>
      </c>
      <c r="C143" s="63">
        <f>IF(D143&lt;&gt;"","S"&amp;TEXT(WEEKNUM(D143),"00"),"")</f>
      </c>
      <c r="D143" s="42">
        <f>IF(AND(Data!#REF!&lt;&gt;"",Data!#REF!="Accept&amp;#233;"),Data!#REF!,"")</f>
        <v>25569.041666666668</v>
      </c>
      <c r="E143" s="64">
        <f>IF(AND(Data!#REF!&lt;&gt;"",Data!#REF!="Accept&amp;#233;"),Data!#REF!,"")</f>
      </c>
      <c r="F143" s="65">
        <f>IF(AND(Data!#REF!&lt;&gt;"",Data!#REF!="Accept&amp;#233;"),Data!#REF!,"")</f>
      </c>
      <c r="G143" s="66">
        <f>IF(Data!#REF!='Delivery Plan'!E143,Data!#REF!,"")</f>
      </c>
      <c r="H143" s="53"/>
      <c r="I143" s="63">
        <f>IF(J143&lt;&gt;"","S"&amp;TEXT(WEEKNUM(J143),"00"),"")</f>
      </c>
      <c r="J143" s="42">
        <f>IF(AND(E143=Data!#REF!,Data!#REF!&lt;&gt;""),Data!#REF!,"")</f>
        <v>25569.041666666668</v>
      </c>
      <c r="K143" s="67">
        <f>IF(AND(E143=Data!#REF!,Data!#REF!&lt;&gt;""),Data!#REF!,"")</f>
        <v>25569.041666666668</v>
      </c>
      <c r="L143" s="68">
        <f>IF(E143=Data!#REF!,Data!#REF!,"")</f>
      </c>
      <c r="M143" s="68">
        <f>IF(E143=Data!#REF!,Data!#REF!,"")</f>
      </c>
      <c r="N143" s="69">
        <f>IF(AND(Data!#REF!&lt;&gt;"",Data!#REF!="Accept&amp;#233;"),Data!#REF!,"")</f>
      </c>
    </row>
    <row x14ac:dyDescent="0.25" r="144" customHeight="1" ht="19.5" hidden="1">
      <c r="A144" s="62">
        <f>IF(AND(Data!#REF!&lt;&gt;"",Data!#REF!="Accept&amp;#233;"),Data!#REF!,"")</f>
      </c>
      <c r="B144" s="62">
        <f>IF(AND(Data!#REF!&lt;&gt;"",Data!#REF!="Accept&amp;#233;"),Data!#REF!,"")</f>
      </c>
      <c r="C144" s="63">
        <f>IF(D144&lt;&gt;"","S"&amp;TEXT(WEEKNUM(D144),"00"),"")</f>
      </c>
      <c r="D144" s="42">
        <f>IF(AND(Data!#REF!&lt;&gt;"",Data!#REF!="Accept&amp;#233;"),Data!#REF!,"")</f>
        <v>25569.041666666668</v>
      </c>
      <c r="E144" s="64">
        <f>IF(AND(Data!#REF!&lt;&gt;"",Data!#REF!="Accept&amp;#233;"),Data!#REF!,"")</f>
      </c>
      <c r="F144" s="65">
        <f>IF(AND(Data!#REF!&lt;&gt;"",Data!#REF!="Accept&amp;#233;"),Data!#REF!,"")</f>
      </c>
      <c r="G144" s="66">
        <f>IF(Data!#REF!='Delivery Plan'!E144,Data!#REF!,"")</f>
      </c>
      <c r="H144" s="53"/>
      <c r="I144" s="63">
        <f>IF(J144&lt;&gt;"","S"&amp;TEXT(WEEKNUM(J144),"00"),"")</f>
      </c>
      <c r="J144" s="42">
        <f>IF(AND(E144=Data!#REF!,Data!#REF!&lt;&gt;""),Data!#REF!,"")</f>
        <v>25569.041666666668</v>
      </c>
      <c r="K144" s="67">
        <f>IF(AND(E144=Data!#REF!,Data!#REF!&lt;&gt;""),Data!#REF!,"")</f>
        <v>25569.041666666668</v>
      </c>
      <c r="L144" s="68">
        <f>IF(E144=Data!#REF!,Data!#REF!,"")</f>
      </c>
      <c r="M144" s="68">
        <f>IF(E144=Data!#REF!,Data!#REF!,"")</f>
      </c>
      <c r="N144" s="69">
        <f>IF(AND(Data!#REF!&lt;&gt;"",Data!#REF!="Accept&amp;#233;"),Data!#REF!,"")</f>
      </c>
    </row>
    <row x14ac:dyDescent="0.25" r="145" customHeight="1" ht="19.5" hidden="1">
      <c r="A145" s="62">
        <f>IF(AND(Data!#REF!&lt;&gt;"",Data!#REF!="Accept&amp;#233;"),Data!#REF!,"")</f>
      </c>
      <c r="B145" s="62">
        <f>IF(AND(Data!#REF!&lt;&gt;"",Data!#REF!="Accept&amp;#233;"),Data!#REF!,"")</f>
      </c>
      <c r="C145" s="63">
        <f>IF(D145&lt;&gt;"","S"&amp;TEXT(WEEKNUM(D145),"00"),"")</f>
      </c>
      <c r="D145" s="42">
        <f>IF(AND(Data!#REF!&lt;&gt;"",Data!#REF!="Accept&amp;#233;"),Data!#REF!,"")</f>
        <v>25569.041666666668</v>
      </c>
      <c r="E145" s="64">
        <f>IF(AND(Data!#REF!&lt;&gt;"",Data!#REF!="Accept&amp;#233;"),Data!#REF!,"")</f>
      </c>
      <c r="F145" s="65">
        <f>IF(AND(Data!#REF!&lt;&gt;"",Data!#REF!="Accept&amp;#233;"),Data!#REF!,"")</f>
      </c>
      <c r="G145" s="66">
        <f>IF(Data!#REF!='Delivery Plan'!E145,Data!#REF!,"")</f>
      </c>
      <c r="H145" s="53"/>
      <c r="I145" s="63">
        <f>IF(J145&lt;&gt;"","S"&amp;TEXT(WEEKNUM(J145),"00"),"")</f>
      </c>
      <c r="J145" s="42">
        <f>IF(AND(E145=Data!#REF!,Data!#REF!&lt;&gt;""),Data!#REF!,"")</f>
        <v>25569.041666666668</v>
      </c>
      <c r="K145" s="67">
        <f>IF(AND(E145=Data!#REF!,Data!#REF!&lt;&gt;""),Data!#REF!,"")</f>
        <v>25569.041666666668</v>
      </c>
      <c r="L145" s="68">
        <f>IF(E145=Data!#REF!,Data!#REF!,"")</f>
      </c>
      <c r="M145" s="68">
        <f>IF(E145=Data!#REF!,Data!#REF!,"")</f>
      </c>
      <c r="N145" s="69">
        <f>IF(AND(Data!#REF!&lt;&gt;"",Data!#REF!="Accept&amp;#233;"),Data!#REF!,"")</f>
      </c>
    </row>
    <row x14ac:dyDescent="0.25" r="146" customHeight="1" ht="19.5" hidden="1">
      <c r="A146" s="62">
        <f>IF(AND(Data!#REF!&lt;&gt;"",Data!#REF!="Accept&amp;#233;"),Data!#REF!,"")</f>
      </c>
      <c r="B146" s="62">
        <f>IF(AND(Data!#REF!&lt;&gt;"",Data!#REF!="Accept&amp;#233;"),Data!#REF!,"")</f>
      </c>
      <c r="C146" s="63">
        <f>IF(D146&lt;&gt;"","S"&amp;TEXT(WEEKNUM(D146),"00"),"")</f>
      </c>
      <c r="D146" s="42">
        <f>IF(AND(Data!#REF!&lt;&gt;"",Data!#REF!="Accept&amp;#233;"),Data!#REF!,"")</f>
        <v>25569.041666666668</v>
      </c>
      <c r="E146" s="64">
        <f>IF(AND(Data!#REF!&lt;&gt;"",Data!#REF!="Accept&amp;#233;"),Data!#REF!,"")</f>
      </c>
      <c r="F146" s="65">
        <f>IF(AND(Data!#REF!&lt;&gt;"",Data!#REF!="Accept&amp;#233;"),Data!#REF!,"")</f>
      </c>
      <c r="G146" s="66">
        <f>IF(Data!#REF!='Delivery Plan'!E146,Data!#REF!,"")</f>
      </c>
      <c r="H146" s="53"/>
      <c r="I146" s="63">
        <f>IF(J146&lt;&gt;"","S"&amp;TEXT(WEEKNUM(J146),"00"),"")</f>
      </c>
      <c r="J146" s="42">
        <f>IF(AND(E146=Data!#REF!,Data!#REF!&lt;&gt;""),Data!#REF!,"")</f>
        <v>25569.041666666668</v>
      </c>
      <c r="K146" s="67">
        <f>IF(AND(E146=Data!#REF!,Data!#REF!&lt;&gt;""),Data!#REF!,"")</f>
        <v>25569.041666666668</v>
      </c>
      <c r="L146" s="68">
        <f>IF(E146=Data!#REF!,Data!#REF!,"")</f>
      </c>
      <c r="M146" s="68">
        <f>IF(E146=Data!#REF!,Data!#REF!,"")</f>
      </c>
      <c r="N146" s="69">
        <f>IF(AND(Data!#REF!&lt;&gt;"",Data!#REF!="Accept&amp;#233;"),Data!#REF!,"")</f>
      </c>
    </row>
    <row x14ac:dyDescent="0.25" r="147" customHeight="1" ht="19.5" hidden="1">
      <c r="A147" s="62">
        <f>IF(AND(Data!#REF!&lt;&gt;"",Data!#REF!="Accept&amp;#233;"),Data!#REF!,"")</f>
      </c>
      <c r="B147" s="62">
        <f>IF(AND(Data!#REF!&lt;&gt;"",Data!#REF!="Accept&amp;#233;"),Data!#REF!,"")</f>
      </c>
      <c r="C147" s="63">
        <f>IF(D147&lt;&gt;"","S"&amp;TEXT(WEEKNUM(D147),"00"),"")</f>
      </c>
      <c r="D147" s="42">
        <f>IF(AND(Data!#REF!&lt;&gt;"",Data!#REF!="Accept&amp;#233;"),Data!#REF!,"")</f>
        <v>25569.041666666668</v>
      </c>
      <c r="E147" s="64">
        <f>IF(AND(Data!#REF!&lt;&gt;"",Data!#REF!="Accept&amp;#233;"),Data!#REF!,"")</f>
      </c>
      <c r="F147" s="65">
        <f>IF(AND(Data!#REF!&lt;&gt;"",Data!#REF!="Accept&amp;#233;"),Data!#REF!,"")</f>
      </c>
      <c r="G147" s="66">
        <f>IF(Data!#REF!='Delivery Plan'!E147,Data!#REF!,"")</f>
      </c>
      <c r="H147" s="53"/>
      <c r="I147" s="63">
        <f>IF(J147&lt;&gt;"","S"&amp;TEXT(WEEKNUM(J147),"00"),"")</f>
      </c>
      <c r="J147" s="42">
        <f>IF(AND(E147=Data!#REF!,Data!#REF!&lt;&gt;""),Data!#REF!,"")</f>
        <v>25569.041666666668</v>
      </c>
      <c r="K147" s="67">
        <f>IF(AND(E147=Data!#REF!,Data!#REF!&lt;&gt;""),Data!#REF!,"")</f>
        <v>25569.041666666668</v>
      </c>
      <c r="L147" s="68">
        <f>IF(E147=Data!#REF!,Data!#REF!,"")</f>
      </c>
      <c r="M147" s="68">
        <f>IF(E147=Data!#REF!,Data!#REF!,"")</f>
      </c>
      <c r="N147" s="69">
        <f>IF(AND(Data!#REF!&lt;&gt;"",Data!#REF!="Accept&amp;#233;"),Data!#REF!,"")</f>
      </c>
    </row>
    <row x14ac:dyDescent="0.25" r="148" customHeight="1" ht="19.5" hidden="1">
      <c r="A148" s="62">
        <f>IF(AND(Data!#REF!&lt;&gt;"",Data!#REF!="Accept&amp;#233;"),Data!#REF!,"")</f>
      </c>
      <c r="B148" s="62">
        <f>IF(AND(Data!#REF!&lt;&gt;"",Data!#REF!="Accept&amp;#233;"),Data!#REF!,"")</f>
      </c>
      <c r="C148" s="63">
        <f>IF(D148&lt;&gt;"","S"&amp;TEXT(WEEKNUM(D148),"00"),"")</f>
      </c>
      <c r="D148" s="42">
        <f>IF(AND(Data!#REF!&lt;&gt;"",Data!#REF!="Accept&amp;#233;"),Data!#REF!,"")</f>
        <v>25569.041666666668</v>
      </c>
      <c r="E148" s="64">
        <f>IF(AND(Data!#REF!&lt;&gt;"",Data!#REF!="Accept&amp;#233;"),Data!#REF!,"")</f>
      </c>
      <c r="F148" s="65">
        <f>IF(AND(Data!#REF!&lt;&gt;"",Data!#REF!="Accept&amp;#233;"),Data!#REF!,"")</f>
      </c>
      <c r="G148" s="66">
        <f>IF(Data!#REF!='Delivery Plan'!E148,Data!#REF!,"")</f>
      </c>
      <c r="H148" s="53"/>
      <c r="I148" s="63">
        <f>IF(J148&lt;&gt;"","S"&amp;TEXT(WEEKNUM(J148),"00"),"")</f>
      </c>
      <c r="J148" s="42">
        <f>IF(AND(E148=Data!#REF!,Data!#REF!&lt;&gt;""),Data!#REF!,"")</f>
        <v>25569.041666666668</v>
      </c>
      <c r="K148" s="67">
        <f>IF(AND(E148=Data!#REF!,Data!#REF!&lt;&gt;""),Data!#REF!,"")</f>
        <v>25569.041666666668</v>
      </c>
      <c r="L148" s="68">
        <f>IF(E148=Data!#REF!,Data!#REF!,"")</f>
      </c>
      <c r="M148" s="68">
        <f>IF(E148=Data!#REF!,Data!#REF!,"")</f>
      </c>
      <c r="N148" s="69">
        <f>IF(AND(Data!#REF!&lt;&gt;"",Data!#REF!="Accept&amp;#233;"),Data!#REF!,"")</f>
      </c>
    </row>
    <row x14ac:dyDescent="0.25" r="149" customHeight="1" ht="19.5" hidden="1">
      <c r="A149" s="62">
        <f>IF(AND(Data!#REF!&lt;&gt;"",Data!#REF!="Accept&amp;#233;"),Data!#REF!,"")</f>
      </c>
      <c r="B149" s="62">
        <f>IF(AND(Data!#REF!&lt;&gt;"",Data!#REF!="Accept&amp;#233;"),Data!#REF!,"")</f>
      </c>
      <c r="C149" s="63">
        <f>IF(D149&lt;&gt;"","S"&amp;TEXT(WEEKNUM(D149),"00"),"")</f>
      </c>
      <c r="D149" s="42">
        <f>IF(AND(Data!#REF!&lt;&gt;"",Data!#REF!="Accept&amp;#233;"),Data!#REF!,"")</f>
        <v>25569.041666666668</v>
      </c>
      <c r="E149" s="64">
        <f>IF(AND(Data!#REF!&lt;&gt;"",Data!#REF!="Accept&amp;#233;"),Data!#REF!,"")</f>
      </c>
      <c r="F149" s="65">
        <f>IF(AND(Data!#REF!&lt;&gt;"",Data!#REF!="Accept&amp;#233;"),Data!#REF!,"")</f>
      </c>
      <c r="G149" s="66">
        <f>IF(Data!#REF!='Delivery Plan'!E149,Data!#REF!,"")</f>
      </c>
      <c r="H149" s="53"/>
      <c r="I149" s="63">
        <f>IF(J149&lt;&gt;"","S"&amp;TEXT(WEEKNUM(J149),"00"),"")</f>
      </c>
      <c r="J149" s="42">
        <f>IF(AND(E149=Data!#REF!,Data!#REF!&lt;&gt;""),Data!#REF!,"")</f>
        <v>25569.041666666668</v>
      </c>
      <c r="K149" s="67">
        <f>IF(AND(E149=Data!#REF!,Data!#REF!&lt;&gt;""),Data!#REF!,"")</f>
        <v>25569.041666666668</v>
      </c>
      <c r="L149" s="68">
        <f>IF(E149=Data!#REF!,Data!#REF!,"")</f>
      </c>
      <c r="M149" s="68">
        <f>IF(E149=Data!#REF!,Data!#REF!,"")</f>
      </c>
      <c r="N149" s="69">
        <f>IF(AND(Data!#REF!&lt;&gt;"",Data!#REF!="Accept&amp;#233;"),Data!#REF!,"")</f>
      </c>
    </row>
    <row x14ac:dyDescent="0.25" r="150" customHeight="1" ht="19.5" hidden="1">
      <c r="A150" s="62">
        <f>IF(AND(Data!#REF!&lt;&gt;"",Data!#REF!="Accept&amp;#233;"),Data!#REF!,"")</f>
      </c>
      <c r="B150" s="62">
        <f>IF(AND(Data!#REF!&lt;&gt;"",Data!#REF!="Accept&amp;#233;"),Data!#REF!,"")</f>
      </c>
      <c r="C150" s="63">
        <f>IF(D150&lt;&gt;"","S"&amp;TEXT(WEEKNUM(D150),"00"),"")</f>
      </c>
      <c r="D150" s="42">
        <f>IF(AND(Data!#REF!&lt;&gt;"",Data!#REF!="Accept&amp;#233;"),Data!#REF!,"")</f>
        <v>25569.041666666668</v>
      </c>
      <c r="E150" s="64">
        <f>IF(AND(Data!#REF!&lt;&gt;"",Data!#REF!="Accept&amp;#233;"),Data!#REF!,"")</f>
      </c>
      <c r="F150" s="65">
        <f>IF(AND(Data!#REF!&lt;&gt;"",Data!#REF!="Accept&amp;#233;"),Data!#REF!,"")</f>
      </c>
      <c r="G150" s="66">
        <f>IF(Data!#REF!='Delivery Plan'!E150,Data!#REF!,"")</f>
      </c>
      <c r="H150" s="53"/>
      <c r="I150" s="63">
        <f>IF(J150&lt;&gt;"","S"&amp;TEXT(WEEKNUM(J150),"00"),"")</f>
      </c>
      <c r="J150" s="42">
        <f>IF(AND(E150=Data!#REF!,Data!#REF!&lt;&gt;""),Data!#REF!,"")</f>
        <v>25569.041666666668</v>
      </c>
      <c r="K150" s="67">
        <f>IF(AND(E150=Data!#REF!,Data!#REF!&lt;&gt;""),Data!#REF!,"")</f>
        <v>25569.041666666668</v>
      </c>
      <c r="L150" s="68">
        <f>IF(E150=Data!#REF!,Data!#REF!,"")</f>
      </c>
      <c r="M150" s="68">
        <f>IF(E150=Data!#REF!,Data!#REF!,"")</f>
      </c>
      <c r="N150" s="69">
        <f>IF(AND(Data!#REF!&lt;&gt;"",Data!#REF!="Accept&amp;#233;"),Data!#REF!,"")</f>
      </c>
    </row>
    <row x14ac:dyDescent="0.25" r="151" customHeight="1" ht="19.5" hidden="1">
      <c r="A151" s="62">
        <f>IF(AND(Data!#REF!&lt;&gt;"",Data!#REF!="Accept&amp;#233;"),Data!#REF!,"")</f>
      </c>
      <c r="B151" s="62">
        <f>IF(AND(Data!#REF!&lt;&gt;"",Data!#REF!="Accept&amp;#233;"),Data!#REF!,"")</f>
      </c>
      <c r="C151" s="63">
        <f>IF(D151&lt;&gt;"","S"&amp;TEXT(WEEKNUM(D151),"00"),"")</f>
      </c>
      <c r="D151" s="42">
        <f>IF(AND(Data!#REF!&lt;&gt;"",Data!#REF!="Accept&amp;#233;"),Data!#REF!,"")</f>
        <v>25569.041666666668</v>
      </c>
      <c r="E151" s="64">
        <f>IF(AND(Data!#REF!&lt;&gt;"",Data!#REF!="Accept&amp;#233;"),Data!#REF!,"")</f>
      </c>
      <c r="F151" s="65">
        <f>IF(AND(Data!#REF!&lt;&gt;"",Data!#REF!="Accept&amp;#233;"),Data!#REF!,"")</f>
      </c>
      <c r="G151" s="66">
        <f>IF(Data!#REF!='Delivery Plan'!E151,Data!#REF!,"")</f>
      </c>
      <c r="H151" s="53"/>
      <c r="I151" s="63">
        <f>IF(J151&lt;&gt;"","S"&amp;TEXT(WEEKNUM(J151),"00"),"")</f>
      </c>
      <c r="J151" s="42">
        <f>IF(AND(E151=Data!#REF!,Data!#REF!&lt;&gt;""),Data!#REF!,"")</f>
        <v>25569.041666666668</v>
      </c>
      <c r="K151" s="67">
        <f>IF(AND(E151=Data!#REF!,Data!#REF!&lt;&gt;""),Data!#REF!,"")</f>
        <v>25569.041666666668</v>
      </c>
      <c r="L151" s="68">
        <f>IF(E151=Data!#REF!,Data!#REF!,"")</f>
      </c>
      <c r="M151" s="68">
        <f>IF(E151=Data!#REF!,Data!#REF!,"")</f>
      </c>
      <c r="N151" s="69">
        <f>IF(AND(Data!#REF!&lt;&gt;"",Data!#REF!="Accept&amp;#233;"),Data!#REF!,"")</f>
      </c>
    </row>
    <row x14ac:dyDescent="0.25" r="152" customHeight="1" ht="19.5" hidden="1">
      <c r="A152" s="62">
        <f>IF(AND(Data!#REF!&lt;&gt;"",Data!#REF!="Accept&amp;#233;"),Data!#REF!,"")</f>
      </c>
      <c r="B152" s="62">
        <f>IF(AND(Data!#REF!&lt;&gt;"",Data!#REF!="Accept&amp;#233;"),Data!#REF!,"")</f>
      </c>
      <c r="C152" s="63">
        <f>IF(D152&lt;&gt;"","S"&amp;TEXT(WEEKNUM(D152),"00"),"")</f>
      </c>
      <c r="D152" s="42">
        <f>IF(AND(Data!#REF!&lt;&gt;"",Data!#REF!="Accept&amp;#233;"),Data!#REF!,"")</f>
        <v>25569.041666666668</v>
      </c>
      <c r="E152" s="64">
        <f>IF(AND(Data!#REF!&lt;&gt;"",Data!#REF!="Accept&amp;#233;"),Data!#REF!,"")</f>
      </c>
      <c r="F152" s="65">
        <f>IF(AND(Data!#REF!&lt;&gt;"",Data!#REF!="Accept&amp;#233;"),Data!#REF!,"")</f>
      </c>
      <c r="G152" s="66">
        <f>IF(Data!#REF!='Delivery Plan'!E152,Data!#REF!,"")</f>
      </c>
      <c r="H152" s="53"/>
      <c r="I152" s="63">
        <f>IF(J152&lt;&gt;"","S"&amp;TEXT(WEEKNUM(J152),"00"),"")</f>
      </c>
      <c r="J152" s="42">
        <f>IF(AND(E152=Data!#REF!,Data!#REF!&lt;&gt;""),Data!#REF!,"")</f>
        <v>25569.041666666668</v>
      </c>
      <c r="K152" s="67">
        <f>IF(AND(E152=Data!#REF!,Data!#REF!&lt;&gt;""),Data!#REF!,"")</f>
        <v>25569.041666666668</v>
      </c>
      <c r="L152" s="68">
        <f>IF(E152=Data!#REF!,Data!#REF!,"")</f>
      </c>
      <c r="M152" s="68">
        <f>IF(E152=Data!#REF!,Data!#REF!,"")</f>
      </c>
      <c r="N152" s="69">
        <f>IF(AND(Data!#REF!&lt;&gt;"",Data!#REF!="Accept&amp;#233;"),Data!#REF!,"")</f>
      </c>
    </row>
    <row x14ac:dyDescent="0.25" r="153" customHeight="1" ht="19.5" hidden="1">
      <c r="A153" s="62">
        <f>IF(AND(Data!#REF!&lt;&gt;"",Data!#REF!="Accept&amp;#233;"),Data!#REF!,"")</f>
      </c>
      <c r="B153" s="62">
        <f>IF(AND(Data!#REF!&lt;&gt;"",Data!#REF!="Accept&amp;#233;"),Data!#REF!,"")</f>
      </c>
      <c r="C153" s="63">
        <f>IF(D153&lt;&gt;"","S"&amp;TEXT(WEEKNUM(D153),"00"),"")</f>
      </c>
      <c r="D153" s="42">
        <f>IF(AND(Data!#REF!&lt;&gt;"",Data!#REF!="Accept&amp;#233;"),Data!#REF!,"")</f>
        <v>25569.041666666668</v>
      </c>
      <c r="E153" s="64">
        <f>IF(AND(Data!#REF!&lt;&gt;"",Data!#REF!="Accept&amp;#233;"),Data!#REF!,"")</f>
      </c>
      <c r="F153" s="65">
        <f>IF(AND(Data!#REF!&lt;&gt;"",Data!#REF!="Accept&amp;#233;"),Data!#REF!,"")</f>
      </c>
      <c r="G153" s="66">
        <f>IF(Data!#REF!='Delivery Plan'!E153,Data!#REF!,"")</f>
      </c>
      <c r="H153" s="53"/>
      <c r="I153" s="63">
        <f>IF(J153&lt;&gt;"","S"&amp;TEXT(WEEKNUM(J153),"00"),"")</f>
      </c>
      <c r="J153" s="42">
        <f>IF(AND(E153=Data!#REF!,Data!#REF!&lt;&gt;""),Data!#REF!,"")</f>
        <v>25569.041666666668</v>
      </c>
      <c r="K153" s="67">
        <f>IF(AND(E153=Data!#REF!,Data!#REF!&lt;&gt;""),Data!#REF!,"")</f>
        <v>25569.041666666668</v>
      </c>
      <c r="L153" s="68">
        <f>IF(E153=Data!#REF!,Data!#REF!,"")</f>
      </c>
      <c r="M153" s="68">
        <f>IF(E153=Data!#REF!,Data!#REF!,"")</f>
      </c>
      <c r="N153" s="69">
        <f>IF(AND(Data!#REF!&lt;&gt;"",Data!#REF!="Accept&amp;#233;"),Data!#REF!,"")</f>
      </c>
    </row>
    <row x14ac:dyDescent="0.25" r="154" customHeight="1" ht="19.5" hidden="1">
      <c r="A154" s="62">
        <f>IF(AND(Data!#REF!&lt;&gt;"",Data!#REF!="Accept&amp;#233;"),Data!#REF!,"")</f>
      </c>
      <c r="B154" s="62">
        <f>IF(AND(Data!#REF!&lt;&gt;"",Data!#REF!="Accept&amp;#233;"),Data!#REF!,"")</f>
      </c>
      <c r="C154" s="63">
        <f>IF(D154&lt;&gt;"","S"&amp;TEXT(WEEKNUM(D154),"00"),"")</f>
      </c>
      <c r="D154" s="42">
        <f>IF(AND(Data!#REF!&lt;&gt;"",Data!#REF!="Accept&amp;#233;"),Data!#REF!,"")</f>
        <v>25569.041666666668</v>
      </c>
      <c r="E154" s="64">
        <f>IF(AND(Data!#REF!&lt;&gt;"",Data!#REF!="Accept&amp;#233;"),Data!#REF!,"")</f>
      </c>
      <c r="F154" s="65">
        <f>IF(AND(Data!#REF!&lt;&gt;"",Data!#REF!="Accept&amp;#233;"),Data!#REF!,"")</f>
      </c>
      <c r="G154" s="66">
        <f>IF(Data!#REF!='Delivery Plan'!E154,Data!#REF!,"")</f>
      </c>
      <c r="H154" s="53"/>
      <c r="I154" s="63">
        <f>IF(J154&lt;&gt;"","S"&amp;TEXT(WEEKNUM(J154),"00"),"")</f>
      </c>
      <c r="J154" s="42">
        <f>IF(AND(E154=Data!#REF!,Data!#REF!&lt;&gt;""),Data!#REF!,"")</f>
        <v>25569.041666666668</v>
      </c>
      <c r="K154" s="67">
        <f>IF(AND(E154=Data!#REF!,Data!#REF!&lt;&gt;""),Data!#REF!,"")</f>
        <v>25569.041666666668</v>
      </c>
      <c r="L154" s="68">
        <f>IF(E154=Data!#REF!,Data!#REF!,"")</f>
      </c>
      <c r="M154" s="68">
        <f>IF(E154=Data!#REF!,Data!#REF!,"")</f>
      </c>
      <c r="N154" s="69">
        <f>IF(AND(Data!#REF!&lt;&gt;"",Data!#REF!="Accept&amp;#233;"),Data!#REF!,"")</f>
      </c>
    </row>
    <row x14ac:dyDescent="0.25" r="155" customHeight="1" ht="19.5" hidden="1">
      <c r="A155" s="62">
        <f>IF(AND(Data!#REF!&lt;&gt;"",Data!#REF!="Accept&amp;#233;"),Data!#REF!,"")</f>
      </c>
      <c r="B155" s="62">
        <f>IF(AND(Data!#REF!&lt;&gt;"",Data!#REF!="Accept&amp;#233;"),Data!#REF!,"")</f>
      </c>
      <c r="C155" s="63">
        <f>IF(D155&lt;&gt;"","S"&amp;TEXT(WEEKNUM(D155),"00"),"")</f>
      </c>
      <c r="D155" s="42">
        <f>IF(AND(Data!#REF!&lt;&gt;"",Data!#REF!="Accept&amp;#233;"),Data!#REF!,"")</f>
        <v>25569.041666666668</v>
      </c>
      <c r="E155" s="64">
        <f>IF(AND(Data!#REF!&lt;&gt;"",Data!#REF!="Accept&amp;#233;"),Data!#REF!,"")</f>
      </c>
      <c r="F155" s="65">
        <f>IF(AND(Data!#REF!&lt;&gt;"",Data!#REF!="Accept&amp;#233;"),Data!#REF!,"")</f>
      </c>
      <c r="G155" s="66">
        <f>IF(Data!#REF!='Delivery Plan'!E155,Data!#REF!,"")</f>
      </c>
      <c r="H155" s="53"/>
      <c r="I155" s="63">
        <f>IF(J155&lt;&gt;"","S"&amp;TEXT(WEEKNUM(J155),"00"),"")</f>
      </c>
      <c r="J155" s="42">
        <f>IF(AND(E155=Data!#REF!,Data!#REF!&lt;&gt;""),Data!#REF!,"")</f>
        <v>25569.041666666668</v>
      </c>
      <c r="K155" s="67">
        <f>IF(AND(E155=Data!#REF!,Data!#REF!&lt;&gt;""),Data!#REF!,"")</f>
        <v>25569.041666666668</v>
      </c>
      <c r="L155" s="68">
        <f>IF(E155=Data!#REF!,Data!#REF!,"")</f>
      </c>
      <c r="M155" s="68">
        <f>IF(E155=Data!#REF!,Data!#REF!,"")</f>
      </c>
      <c r="N155" s="69">
        <f>IF(AND(Data!#REF!&lt;&gt;"",Data!#REF!="Accept&amp;#233;"),Data!#REF!,"")</f>
      </c>
    </row>
    <row x14ac:dyDescent="0.25" r="156" customHeight="1" ht="19.5" hidden="1">
      <c r="A156" s="62">
        <f>IF(AND(Data!#REF!&lt;&gt;"",Data!#REF!="Accept&amp;#233;"),Data!#REF!,"")</f>
      </c>
      <c r="B156" s="62">
        <f>IF(AND(Data!#REF!&lt;&gt;"",Data!#REF!="Accept&amp;#233;"),Data!#REF!,"")</f>
      </c>
      <c r="C156" s="63">
        <f>IF(D156&lt;&gt;"","S"&amp;TEXT(WEEKNUM(D156),"00"),"")</f>
      </c>
      <c r="D156" s="42">
        <f>IF(AND(Data!#REF!&lt;&gt;"",Data!#REF!="Accept&amp;#233;"),Data!#REF!,"")</f>
        <v>25569.041666666668</v>
      </c>
      <c r="E156" s="64">
        <f>IF(AND(Data!#REF!&lt;&gt;"",Data!#REF!="Accept&amp;#233;"),Data!#REF!,"")</f>
      </c>
      <c r="F156" s="65">
        <f>IF(AND(Data!#REF!&lt;&gt;"",Data!#REF!="Accept&amp;#233;"),Data!#REF!,"")</f>
      </c>
      <c r="G156" s="66">
        <f>IF(Data!#REF!='Delivery Plan'!E156,Data!#REF!,"")</f>
      </c>
      <c r="H156" s="53"/>
      <c r="I156" s="63">
        <f>IF(J156&lt;&gt;"","S"&amp;TEXT(WEEKNUM(J156),"00"),"")</f>
      </c>
      <c r="J156" s="42">
        <f>IF(AND(E156=Data!#REF!,Data!#REF!&lt;&gt;""),Data!#REF!,"")</f>
        <v>25569.041666666668</v>
      </c>
      <c r="K156" s="67">
        <f>IF(AND(E156=Data!#REF!,Data!#REF!&lt;&gt;""),Data!#REF!,"")</f>
        <v>25569.041666666668</v>
      </c>
      <c r="L156" s="68">
        <f>IF(E156=Data!#REF!,Data!#REF!,"")</f>
      </c>
      <c r="M156" s="68">
        <f>IF(E156=Data!#REF!,Data!#REF!,"")</f>
      </c>
      <c r="N156" s="69">
        <f>IF(AND(Data!#REF!&lt;&gt;"",Data!#REF!="Accept&amp;#233;"),Data!#REF!,"")</f>
      </c>
    </row>
    <row x14ac:dyDescent="0.25" r="157" customHeight="1" ht="19.5" hidden="1">
      <c r="A157" s="62">
        <f>IF(AND(Data!#REF!&lt;&gt;"",Data!#REF!="Accept&amp;#233;"),Data!#REF!,"")</f>
      </c>
      <c r="B157" s="62">
        <f>IF(AND(Data!#REF!&lt;&gt;"",Data!#REF!="Accept&amp;#233;"),Data!#REF!,"")</f>
      </c>
      <c r="C157" s="63">
        <f>IF(D157&lt;&gt;"","S"&amp;TEXT(WEEKNUM(D157),"00"),"")</f>
      </c>
      <c r="D157" s="42">
        <f>IF(AND(Data!#REF!&lt;&gt;"",Data!#REF!="Accept&amp;#233;"),Data!#REF!,"")</f>
        <v>25569.041666666668</v>
      </c>
      <c r="E157" s="64">
        <f>IF(AND(Data!#REF!&lt;&gt;"",Data!#REF!="Accept&amp;#233;"),Data!#REF!,"")</f>
      </c>
      <c r="F157" s="65">
        <f>IF(AND(Data!#REF!&lt;&gt;"",Data!#REF!="Accept&amp;#233;"),Data!#REF!,"")</f>
      </c>
      <c r="G157" s="66">
        <f>IF(Data!#REF!='Delivery Plan'!E157,Data!#REF!,"")</f>
      </c>
      <c r="H157" s="53"/>
      <c r="I157" s="63">
        <f>IF(J157&lt;&gt;"","S"&amp;TEXT(WEEKNUM(J157),"00"),"")</f>
      </c>
      <c r="J157" s="42">
        <f>IF(AND(E157=Data!#REF!,Data!#REF!&lt;&gt;""),Data!#REF!,"")</f>
        <v>25569.041666666668</v>
      </c>
      <c r="K157" s="67">
        <f>IF(AND(E157=Data!#REF!,Data!#REF!&lt;&gt;""),Data!#REF!,"")</f>
        <v>25569.041666666668</v>
      </c>
      <c r="L157" s="68">
        <f>IF(E157=Data!#REF!,Data!#REF!,"")</f>
      </c>
      <c r="M157" s="68">
        <f>IF(E157=Data!#REF!,Data!#REF!,"")</f>
      </c>
      <c r="N157" s="69">
        <f>IF(AND(Data!#REF!&lt;&gt;"",Data!#REF!="Accept&amp;#233;"),Data!#REF!,"")</f>
      </c>
    </row>
    <row x14ac:dyDescent="0.25" r="158" customHeight="1" ht="19.5" hidden="1">
      <c r="A158" s="62">
        <f>IF(AND(Data!#REF!&lt;&gt;"",Data!#REF!="Accept&amp;#233;"),Data!#REF!,"")</f>
      </c>
      <c r="B158" s="62">
        <f>IF(AND(Data!#REF!&lt;&gt;"",Data!#REF!="Accept&amp;#233;"),Data!#REF!,"")</f>
      </c>
      <c r="C158" s="63">
        <f>IF(D158&lt;&gt;"","S"&amp;TEXT(WEEKNUM(D158),"00"),"")</f>
      </c>
      <c r="D158" s="42">
        <f>IF(AND(Data!#REF!&lt;&gt;"",Data!#REF!="Accept&amp;#233;"),Data!#REF!,"")</f>
        <v>25569.041666666668</v>
      </c>
      <c r="E158" s="64">
        <f>IF(AND(Data!#REF!&lt;&gt;"",Data!#REF!="Accept&amp;#233;"),Data!#REF!,"")</f>
      </c>
      <c r="F158" s="65">
        <f>IF(AND(Data!#REF!&lt;&gt;"",Data!#REF!="Accept&amp;#233;"),Data!#REF!,"")</f>
      </c>
      <c r="G158" s="66">
        <f>IF(Data!#REF!='Delivery Plan'!E158,Data!#REF!,"")</f>
      </c>
      <c r="H158" s="53"/>
      <c r="I158" s="63">
        <f>IF(J158&lt;&gt;"","S"&amp;TEXT(WEEKNUM(J158),"00"),"")</f>
      </c>
      <c r="J158" s="42">
        <f>IF(AND(E158=Data!#REF!,Data!#REF!&lt;&gt;""),Data!#REF!,"")</f>
        <v>25569.041666666668</v>
      </c>
      <c r="K158" s="67">
        <f>IF(AND(E158=Data!#REF!,Data!#REF!&lt;&gt;""),Data!#REF!,"")</f>
        <v>25569.041666666668</v>
      </c>
      <c r="L158" s="68">
        <f>IF(E158=Data!#REF!,Data!#REF!,"")</f>
      </c>
      <c r="M158" s="68">
        <f>IF(E158=Data!#REF!,Data!#REF!,"")</f>
      </c>
      <c r="N158" s="69">
        <f>IF(AND(Data!#REF!&lt;&gt;"",Data!#REF!="Accept&amp;#233;"),Data!#REF!,"")</f>
      </c>
    </row>
    <row x14ac:dyDescent="0.25" r="159" customHeight="1" ht="19.5" hidden="1">
      <c r="A159" s="62">
        <f>IF(AND(Data!#REF!&lt;&gt;"",Data!#REF!="Accept&amp;#233;"),Data!#REF!,"")</f>
      </c>
      <c r="B159" s="62">
        <f>IF(AND(Data!#REF!&lt;&gt;"",Data!#REF!="Accept&amp;#233;"),Data!#REF!,"")</f>
      </c>
      <c r="C159" s="63">
        <f>IF(D159&lt;&gt;"","S"&amp;TEXT(WEEKNUM(D159),"00"),"")</f>
      </c>
      <c r="D159" s="42">
        <f>IF(AND(Data!#REF!&lt;&gt;"",Data!#REF!="Accept&amp;#233;"),Data!#REF!,"")</f>
        <v>25569.041666666668</v>
      </c>
      <c r="E159" s="64">
        <f>IF(AND(Data!#REF!&lt;&gt;"",Data!#REF!="Accept&amp;#233;"),Data!#REF!,"")</f>
      </c>
      <c r="F159" s="65">
        <f>IF(AND(Data!#REF!&lt;&gt;"",Data!#REF!="Accept&amp;#233;"),Data!#REF!,"")</f>
      </c>
      <c r="G159" s="66">
        <f>IF(Data!#REF!='Delivery Plan'!E159,Data!#REF!,"")</f>
      </c>
      <c r="H159" s="53"/>
      <c r="I159" s="63">
        <f>IF(J159&lt;&gt;"","S"&amp;TEXT(WEEKNUM(J159),"00"),"")</f>
      </c>
      <c r="J159" s="42">
        <f>IF(AND(E159=Data!#REF!,Data!#REF!&lt;&gt;""),Data!#REF!,"")</f>
        <v>25569.041666666668</v>
      </c>
      <c r="K159" s="67">
        <f>IF(AND(E159=Data!#REF!,Data!#REF!&lt;&gt;""),Data!#REF!,"")</f>
        <v>25569.041666666668</v>
      </c>
      <c r="L159" s="68">
        <f>IF(E159=Data!#REF!,Data!#REF!,"")</f>
      </c>
      <c r="M159" s="68">
        <f>IF(E159=Data!#REF!,Data!#REF!,"")</f>
      </c>
      <c r="N159" s="69">
        <f>IF(AND(Data!#REF!&lt;&gt;"",Data!#REF!="Accept&amp;#233;"),Data!#REF!,"")</f>
      </c>
    </row>
    <row x14ac:dyDescent="0.25" r="160" customHeight="1" ht="19.5" hidden="1">
      <c r="A160" s="62">
        <f>IF(AND(Data!#REF!&lt;&gt;"",Data!#REF!="Accept&amp;#233;"),Data!#REF!,"")</f>
      </c>
      <c r="B160" s="62">
        <f>IF(AND(Data!#REF!&lt;&gt;"",Data!#REF!="Accept&amp;#233;"),Data!#REF!,"")</f>
      </c>
      <c r="C160" s="63">
        <f>IF(D160&lt;&gt;"","S"&amp;TEXT(WEEKNUM(D160),"00"),"")</f>
      </c>
      <c r="D160" s="42">
        <f>IF(AND(Data!#REF!&lt;&gt;"",Data!#REF!="Accept&amp;#233;"),Data!#REF!,"")</f>
        <v>25569.041666666668</v>
      </c>
      <c r="E160" s="64">
        <f>IF(AND(Data!#REF!&lt;&gt;"",Data!#REF!="Accept&amp;#233;"),Data!#REF!,"")</f>
      </c>
      <c r="F160" s="65">
        <f>IF(AND(Data!#REF!&lt;&gt;"",Data!#REF!="Accept&amp;#233;"),Data!#REF!,"")</f>
      </c>
      <c r="G160" s="66">
        <f>IF(Data!#REF!='Delivery Plan'!E160,Data!#REF!,"")</f>
      </c>
      <c r="H160" s="53"/>
      <c r="I160" s="63">
        <f>IF(J160&lt;&gt;"","S"&amp;TEXT(WEEKNUM(J160),"00"),"")</f>
      </c>
      <c r="J160" s="42">
        <f>IF(AND(E160=Data!#REF!,Data!#REF!&lt;&gt;""),Data!#REF!,"")</f>
        <v>25569.041666666668</v>
      </c>
      <c r="K160" s="67">
        <f>IF(AND(E160=Data!#REF!,Data!#REF!&lt;&gt;""),Data!#REF!,"")</f>
        <v>25569.041666666668</v>
      </c>
      <c r="L160" s="68">
        <f>IF(E160=Data!#REF!,Data!#REF!,"")</f>
      </c>
      <c r="M160" s="68">
        <f>IF(E160=Data!#REF!,Data!#REF!,"")</f>
      </c>
      <c r="N160" s="69">
        <f>IF(AND(Data!#REF!&lt;&gt;"",Data!#REF!="Accept&amp;#233;"),Data!#REF!,"")</f>
      </c>
    </row>
    <row x14ac:dyDescent="0.25" r="161" customHeight="1" ht="19.5" hidden="1">
      <c r="A161" s="62">
        <f>IF(AND(Data!#REF!&lt;&gt;"",Data!#REF!="Accept&amp;#233;"),Data!#REF!,"")</f>
      </c>
      <c r="B161" s="62">
        <f>IF(AND(Data!#REF!&lt;&gt;"",Data!#REF!="Accept&amp;#233;"),Data!#REF!,"")</f>
      </c>
      <c r="C161" s="63">
        <f>IF(D161&lt;&gt;"","S"&amp;TEXT(WEEKNUM(D161),"00"),"")</f>
      </c>
      <c r="D161" s="42">
        <f>IF(AND(Data!#REF!&lt;&gt;"",Data!#REF!="Accept&amp;#233;"),Data!#REF!,"")</f>
        <v>25569.041666666668</v>
      </c>
      <c r="E161" s="64">
        <f>IF(AND(Data!#REF!&lt;&gt;"",Data!#REF!="Accept&amp;#233;"),Data!#REF!,"")</f>
      </c>
      <c r="F161" s="65">
        <f>IF(AND(Data!#REF!&lt;&gt;"",Data!#REF!="Accept&amp;#233;"),Data!#REF!,"")</f>
      </c>
      <c r="G161" s="66">
        <f>IF(Data!#REF!='Delivery Plan'!E161,Data!#REF!,"")</f>
      </c>
      <c r="H161" s="53"/>
      <c r="I161" s="63">
        <f>IF(J161&lt;&gt;"","S"&amp;TEXT(WEEKNUM(J161),"00"),"")</f>
      </c>
      <c r="J161" s="42">
        <f>IF(AND(E161=Data!#REF!,Data!#REF!&lt;&gt;""),Data!#REF!,"")</f>
        <v>25569.041666666668</v>
      </c>
      <c r="K161" s="67">
        <f>IF(AND(E161=Data!#REF!,Data!#REF!&lt;&gt;""),Data!#REF!,"")</f>
        <v>25569.041666666668</v>
      </c>
      <c r="L161" s="68">
        <f>IF(E161=Data!#REF!,Data!#REF!,"")</f>
      </c>
      <c r="M161" s="68">
        <f>IF(E161=Data!#REF!,Data!#REF!,"")</f>
      </c>
      <c r="N161" s="69">
        <f>IF(AND(Data!#REF!&lt;&gt;"",Data!#REF!="Accept&amp;#233;"),Data!#REF!,"")</f>
      </c>
    </row>
    <row x14ac:dyDescent="0.25" r="162" customHeight="1" ht="19.5" hidden="1">
      <c r="A162" s="62">
        <f>IF(AND(Data!#REF!&lt;&gt;"",Data!#REF!="Accept&amp;#233;"),Data!#REF!,"")</f>
      </c>
      <c r="B162" s="62">
        <f>IF(AND(Data!#REF!&lt;&gt;"",Data!#REF!="Accept&amp;#233;"),Data!#REF!,"")</f>
      </c>
      <c r="C162" s="63">
        <f>IF(D162&lt;&gt;"","S"&amp;TEXT(WEEKNUM(D162),"00"),"")</f>
      </c>
      <c r="D162" s="42">
        <f>IF(AND(Data!#REF!&lt;&gt;"",Data!#REF!="Accept&amp;#233;"),Data!#REF!,"")</f>
        <v>25569.041666666668</v>
      </c>
      <c r="E162" s="64">
        <f>IF(AND(Data!#REF!&lt;&gt;"",Data!#REF!="Accept&amp;#233;"),Data!#REF!,"")</f>
      </c>
      <c r="F162" s="65">
        <f>IF(AND(Data!#REF!&lt;&gt;"",Data!#REF!="Accept&amp;#233;"),Data!#REF!,"")</f>
      </c>
      <c r="G162" s="66">
        <f>IF(Data!#REF!='Delivery Plan'!E162,Data!#REF!,"")</f>
      </c>
      <c r="H162" s="53"/>
      <c r="I162" s="63">
        <f>IF(J162&lt;&gt;"","S"&amp;TEXT(WEEKNUM(J162),"00"),"")</f>
      </c>
      <c r="J162" s="42">
        <f>IF(AND(E162=Data!#REF!,Data!#REF!&lt;&gt;""),Data!#REF!,"")</f>
        <v>25569.041666666668</v>
      </c>
      <c r="K162" s="67">
        <f>IF(AND(E162=Data!#REF!,Data!#REF!&lt;&gt;""),Data!#REF!,"")</f>
        <v>25569.041666666668</v>
      </c>
      <c r="L162" s="68">
        <f>IF(E162=Data!#REF!,Data!#REF!,"")</f>
      </c>
      <c r="M162" s="68">
        <f>IF(E162=Data!#REF!,Data!#REF!,"")</f>
      </c>
      <c r="N162" s="69">
        <f>IF(AND(Data!#REF!&lt;&gt;"",Data!#REF!="Accept&amp;#233;"),Data!#REF!,"")</f>
      </c>
    </row>
    <row x14ac:dyDescent="0.25" r="163" customHeight="1" ht="19.5" hidden="1">
      <c r="A163" s="62">
        <f>IF(AND(Data!#REF!&lt;&gt;"",Data!#REF!="Accept&amp;#233;"),Data!#REF!,"")</f>
      </c>
      <c r="B163" s="62">
        <f>IF(AND(Data!#REF!&lt;&gt;"",Data!#REF!="Accept&amp;#233;"),Data!#REF!,"")</f>
      </c>
      <c r="C163" s="63">
        <f>IF(D163&lt;&gt;"","S"&amp;TEXT(WEEKNUM(D163),"00"),"")</f>
      </c>
      <c r="D163" s="42">
        <f>IF(AND(Data!#REF!&lt;&gt;"",Data!#REF!="Accept&amp;#233;"),Data!#REF!,"")</f>
        <v>25569.041666666668</v>
      </c>
      <c r="E163" s="64">
        <f>IF(AND(Data!#REF!&lt;&gt;"",Data!#REF!="Accept&amp;#233;"),Data!#REF!,"")</f>
      </c>
      <c r="F163" s="65">
        <f>IF(AND(Data!#REF!&lt;&gt;"",Data!#REF!="Accept&amp;#233;"),Data!#REF!,"")</f>
      </c>
      <c r="G163" s="66">
        <f>IF(Data!#REF!='Delivery Plan'!E163,Data!#REF!,"")</f>
      </c>
      <c r="H163" s="53"/>
      <c r="I163" s="63">
        <f>IF(J163&lt;&gt;"","S"&amp;TEXT(WEEKNUM(J163),"00"),"")</f>
      </c>
      <c r="J163" s="42">
        <f>IF(AND(E163=Data!#REF!,Data!#REF!&lt;&gt;""),Data!#REF!,"")</f>
        <v>25569.041666666668</v>
      </c>
      <c r="K163" s="67">
        <f>IF(AND(E163=Data!#REF!,Data!#REF!&lt;&gt;""),Data!#REF!,"")</f>
        <v>25569.041666666668</v>
      </c>
      <c r="L163" s="68">
        <f>IF(E163=Data!#REF!,Data!#REF!,"")</f>
      </c>
      <c r="M163" s="68">
        <f>IF(E163=Data!#REF!,Data!#REF!,"")</f>
      </c>
      <c r="N163" s="69">
        <f>IF(AND(Data!#REF!&lt;&gt;"",Data!#REF!="Accept&amp;#233;"),Data!#REF!,"")</f>
      </c>
    </row>
    <row x14ac:dyDescent="0.25" r="164" customHeight="1" ht="19.5" hidden="1">
      <c r="A164" s="62">
        <f>IF(AND(Data!#REF!&lt;&gt;"",Data!#REF!="Accept&amp;#233;"),Data!#REF!,"")</f>
      </c>
      <c r="B164" s="62">
        <f>IF(AND(Data!#REF!&lt;&gt;"",Data!#REF!="Accept&amp;#233;"),Data!#REF!,"")</f>
      </c>
      <c r="C164" s="63">
        <f>IF(D164&lt;&gt;"","S"&amp;TEXT(WEEKNUM(D164),"00"),"")</f>
      </c>
      <c r="D164" s="42">
        <f>IF(AND(Data!#REF!&lt;&gt;"",Data!#REF!="Accept&amp;#233;"),Data!#REF!,"")</f>
        <v>25569.041666666668</v>
      </c>
      <c r="E164" s="64">
        <f>IF(AND(Data!#REF!&lt;&gt;"",Data!#REF!="Accept&amp;#233;"),Data!#REF!,"")</f>
      </c>
      <c r="F164" s="65">
        <f>IF(AND(Data!#REF!&lt;&gt;"",Data!#REF!="Accept&amp;#233;"),Data!#REF!,"")</f>
      </c>
      <c r="G164" s="66">
        <f>IF(Data!#REF!='Delivery Plan'!E164,Data!#REF!,"")</f>
      </c>
      <c r="H164" s="53"/>
      <c r="I164" s="63">
        <f>IF(J164&lt;&gt;"","S"&amp;TEXT(WEEKNUM(J164),"00"),"")</f>
      </c>
      <c r="J164" s="42">
        <f>IF(AND(E164=Data!#REF!,Data!#REF!&lt;&gt;""),Data!#REF!,"")</f>
        <v>25569.041666666668</v>
      </c>
      <c r="K164" s="67">
        <f>IF(AND(E164=Data!#REF!,Data!#REF!&lt;&gt;""),Data!#REF!,"")</f>
        <v>25569.041666666668</v>
      </c>
      <c r="L164" s="68">
        <f>IF(E164=Data!#REF!,Data!#REF!,"")</f>
      </c>
      <c r="M164" s="68">
        <f>IF(E164=Data!#REF!,Data!#REF!,"")</f>
      </c>
      <c r="N164" s="69">
        <f>IF(AND(Data!#REF!&lt;&gt;"",Data!#REF!="Accept&amp;#233;"),Data!#REF!,"")</f>
      </c>
    </row>
    <row x14ac:dyDescent="0.25" r="165" customHeight="1" ht="19.5" hidden="1">
      <c r="A165" s="62">
        <f>IF(AND(Data!#REF!&lt;&gt;"",Data!#REF!="Accept&amp;#233;"),Data!#REF!,"")</f>
      </c>
      <c r="B165" s="62">
        <f>IF(AND(Data!#REF!&lt;&gt;"",Data!#REF!="Accept&amp;#233;"),Data!#REF!,"")</f>
      </c>
      <c r="C165" s="63">
        <f>IF(D165&lt;&gt;"","S"&amp;TEXT(WEEKNUM(D165),"00"),"")</f>
      </c>
      <c r="D165" s="42">
        <f>IF(AND(Data!#REF!&lt;&gt;"",Data!#REF!="Accept&amp;#233;"),Data!#REF!,"")</f>
        <v>25569.041666666668</v>
      </c>
      <c r="E165" s="64">
        <f>IF(AND(Data!#REF!&lt;&gt;"",Data!#REF!="Accept&amp;#233;"),Data!#REF!,"")</f>
      </c>
      <c r="F165" s="65">
        <f>IF(AND(Data!#REF!&lt;&gt;"",Data!#REF!="Accept&amp;#233;"),Data!#REF!,"")</f>
      </c>
      <c r="G165" s="66">
        <f>IF(Data!#REF!='Delivery Plan'!E165,Data!#REF!,"")</f>
      </c>
      <c r="H165" s="53"/>
      <c r="I165" s="63">
        <f>IF(J165&lt;&gt;"","S"&amp;TEXT(WEEKNUM(J165),"00"),"")</f>
      </c>
      <c r="J165" s="42">
        <f>IF(AND(E165=Data!#REF!,Data!#REF!&lt;&gt;""),Data!#REF!,"")</f>
        <v>25569.041666666668</v>
      </c>
      <c r="K165" s="67">
        <f>IF(AND(E165=Data!#REF!,Data!#REF!&lt;&gt;""),Data!#REF!,"")</f>
        <v>25569.041666666668</v>
      </c>
      <c r="L165" s="68">
        <f>IF(E165=Data!#REF!,Data!#REF!,"")</f>
      </c>
      <c r="M165" s="68">
        <f>IF(E165=Data!#REF!,Data!#REF!,"")</f>
      </c>
      <c r="N165" s="69">
        <f>IF(AND(Data!#REF!&lt;&gt;"",Data!#REF!="Accept&amp;#233;"),Data!#REF!,"")</f>
      </c>
    </row>
    <row x14ac:dyDescent="0.25" r="166" customHeight="1" ht="19.5" hidden="1">
      <c r="A166" s="62">
        <f>IF(AND(Data!#REF!&lt;&gt;"",Data!#REF!="Accept&amp;#233;"),Data!#REF!,"")</f>
      </c>
      <c r="B166" s="62">
        <f>IF(AND(Data!#REF!&lt;&gt;"",Data!#REF!="Accept&amp;#233;"),Data!#REF!,"")</f>
      </c>
      <c r="C166" s="63">
        <f>IF(D166&lt;&gt;"","S"&amp;TEXT(WEEKNUM(D166),"00"),"")</f>
      </c>
      <c r="D166" s="42">
        <f>IF(AND(Data!#REF!&lt;&gt;"",Data!#REF!="Accept&amp;#233;"),Data!#REF!,"")</f>
        <v>25569.041666666668</v>
      </c>
      <c r="E166" s="64">
        <f>IF(AND(Data!#REF!&lt;&gt;"",Data!#REF!="Accept&amp;#233;"),Data!#REF!,"")</f>
      </c>
      <c r="F166" s="65">
        <f>IF(AND(Data!#REF!&lt;&gt;"",Data!#REF!="Accept&amp;#233;"),Data!#REF!,"")</f>
      </c>
      <c r="G166" s="66">
        <f>IF(Data!#REF!='Delivery Plan'!E166,Data!#REF!,"")</f>
      </c>
      <c r="H166" s="53"/>
      <c r="I166" s="63">
        <f>IF(J166&lt;&gt;"","S"&amp;TEXT(WEEKNUM(J166),"00"),"")</f>
      </c>
      <c r="J166" s="42">
        <f>IF(AND(E166=Data!#REF!,Data!#REF!&lt;&gt;""),Data!#REF!,"")</f>
        <v>25569.041666666668</v>
      </c>
      <c r="K166" s="67">
        <f>IF(AND(E166=Data!#REF!,Data!#REF!&lt;&gt;""),Data!#REF!,"")</f>
        <v>25569.041666666668</v>
      </c>
      <c r="L166" s="68">
        <f>IF(E166=Data!#REF!,Data!#REF!,"")</f>
      </c>
      <c r="M166" s="68">
        <f>IF(E166=Data!#REF!,Data!#REF!,"")</f>
      </c>
      <c r="N166" s="69">
        <f>IF(AND(Data!#REF!&lt;&gt;"",Data!#REF!="Accept&amp;#233;"),Data!#REF!,"")</f>
      </c>
    </row>
    <row x14ac:dyDescent="0.25" r="167" customHeight="1" ht="19.5" hidden="1">
      <c r="A167" s="62">
        <f>IF(AND(Data!#REF!&lt;&gt;"",Data!#REF!="Accept&amp;#233;"),Data!#REF!,"")</f>
      </c>
      <c r="B167" s="62">
        <f>IF(AND(Data!#REF!&lt;&gt;"",Data!#REF!="Accept&amp;#233;"),Data!#REF!,"")</f>
      </c>
      <c r="C167" s="63">
        <f>IF(D167&lt;&gt;"","S"&amp;TEXT(WEEKNUM(D167),"00"),"")</f>
      </c>
      <c r="D167" s="42">
        <f>IF(AND(Data!#REF!&lt;&gt;"",Data!#REF!="Accept&amp;#233;"),Data!#REF!,"")</f>
        <v>25569.041666666668</v>
      </c>
      <c r="E167" s="64">
        <f>IF(AND(Data!#REF!&lt;&gt;"",Data!#REF!="Accept&amp;#233;"),Data!#REF!,"")</f>
      </c>
      <c r="F167" s="65">
        <f>IF(AND(Data!#REF!&lt;&gt;"",Data!#REF!="Accept&amp;#233;"),Data!#REF!,"")</f>
      </c>
      <c r="G167" s="66">
        <f>IF(Data!#REF!='Delivery Plan'!E167,Data!#REF!,"")</f>
      </c>
      <c r="H167" s="53"/>
      <c r="I167" s="63">
        <f>IF(J167&lt;&gt;"","S"&amp;TEXT(WEEKNUM(J167),"00"),"")</f>
      </c>
      <c r="J167" s="42">
        <f>IF(AND(E167=Data!#REF!,Data!#REF!&lt;&gt;""),Data!#REF!,"")</f>
        <v>25569.041666666668</v>
      </c>
      <c r="K167" s="67">
        <f>IF(AND(E167=Data!#REF!,Data!#REF!&lt;&gt;""),Data!#REF!,"")</f>
        <v>25569.041666666668</v>
      </c>
      <c r="L167" s="68">
        <f>IF(E167=Data!#REF!,Data!#REF!,"")</f>
      </c>
      <c r="M167" s="68">
        <f>IF(E167=Data!#REF!,Data!#REF!,"")</f>
      </c>
      <c r="N167" s="69">
        <f>IF(AND(Data!#REF!&lt;&gt;"",Data!#REF!="Accept&amp;#233;"),Data!#REF!,"")</f>
      </c>
    </row>
    <row x14ac:dyDescent="0.25" r="168" customHeight="1" ht="19.5" hidden="1">
      <c r="A168" s="62">
        <f>IF(AND(Data!#REF!&lt;&gt;"",Data!#REF!="Accept&amp;#233;"),Data!#REF!,"")</f>
      </c>
      <c r="B168" s="62">
        <f>IF(AND(Data!#REF!&lt;&gt;"",Data!#REF!="Accept&amp;#233;"),Data!#REF!,"")</f>
      </c>
      <c r="C168" s="63">
        <f>IF(D168&lt;&gt;"","S"&amp;TEXT(WEEKNUM(D168),"00"),"")</f>
      </c>
      <c r="D168" s="42">
        <f>IF(AND(Data!#REF!&lt;&gt;"",Data!#REF!="Accept&amp;#233;"),Data!#REF!,"")</f>
        <v>25569.041666666668</v>
      </c>
      <c r="E168" s="64">
        <f>IF(AND(Data!#REF!&lt;&gt;"",Data!#REF!="Accept&amp;#233;"),Data!#REF!,"")</f>
      </c>
      <c r="F168" s="65">
        <f>IF(AND(Data!#REF!&lt;&gt;"",Data!#REF!="Accept&amp;#233;"),Data!#REF!,"")</f>
      </c>
      <c r="G168" s="66">
        <f>IF(Data!#REF!='Delivery Plan'!E168,Data!#REF!,"")</f>
      </c>
      <c r="H168" s="53"/>
      <c r="I168" s="63">
        <f>IF(J168&lt;&gt;"","S"&amp;TEXT(WEEKNUM(J168),"00"),"")</f>
      </c>
      <c r="J168" s="42">
        <f>IF(AND(E168=Data!#REF!,Data!#REF!&lt;&gt;""),Data!#REF!,"")</f>
        <v>25569.041666666668</v>
      </c>
      <c r="K168" s="67">
        <f>IF(AND(E168=Data!#REF!,Data!#REF!&lt;&gt;""),Data!#REF!,"")</f>
        <v>25569.041666666668</v>
      </c>
      <c r="L168" s="68">
        <f>IF(E168=Data!#REF!,Data!#REF!,"")</f>
      </c>
      <c r="M168" s="68">
        <f>IF(E168=Data!#REF!,Data!#REF!,"")</f>
      </c>
      <c r="N168" s="69">
        <f>IF(AND(Data!#REF!&lt;&gt;"",Data!#REF!="Accept&amp;#233;"),Data!#REF!,"")</f>
      </c>
    </row>
    <row x14ac:dyDescent="0.25" r="169" customHeight="1" ht="19.5" hidden="1">
      <c r="A169" s="62">
        <f>IF(AND(Data!#REF!&lt;&gt;"",Data!#REF!="Accept&amp;#233;"),Data!#REF!,"")</f>
      </c>
      <c r="B169" s="62">
        <f>IF(AND(Data!#REF!&lt;&gt;"",Data!#REF!="Accept&amp;#233;"),Data!#REF!,"")</f>
      </c>
      <c r="C169" s="63">
        <f>IF(D169&lt;&gt;"","S"&amp;TEXT(WEEKNUM(D169),"00"),"")</f>
      </c>
      <c r="D169" s="42">
        <f>IF(AND(Data!#REF!&lt;&gt;"",Data!#REF!="Accept&amp;#233;"),Data!#REF!,"")</f>
        <v>25569.041666666668</v>
      </c>
      <c r="E169" s="64">
        <f>IF(AND(Data!#REF!&lt;&gt;"",Data!#REF!="Accept&amp;#233;"),Data!#REF!,"")</f>
      </c>
      <c r="F169" s="65">
        <f>IF(AND(Data!#REF!&lt;&gt;"",Data!#REF!="Accept&amp;#233;"),Data!#REF!,"")</f>
      </c>
      <c r="G169" s="66">
        <f>IF(Data!#REF!='Delivery Plan'!E169,Data!#REF!,"")</f>
      </c>
      <c r="H169" s="53"/>
      <c r="I169" s="63">
        <f>IF(J169&lt;&gt;"","S"&amp;TEXT(WEEKNUM(J169),"00"),"")</f>
      </c>
      <c r="J169" s="42">
        <f>IF(AND(E169=Data!#REF!,Data!#REF!&lt;&gt;""),Data!#REF!,"")</f>
        <v>25569.041666666668</v>
      </c>
      <c r="K169" s="67">
        <f>IF(AND(E169=Data!#REF!,Data!#REF!&lt;&gt;""),Data!#REF!,"")</f>
        <v>25569.041666666668</v>
      </c>
      <c r="L169" s="68">
        <f>IF(E169=Data!#REF!,Data!#REF!,"")</f>
      </c>
      <c r="M169" s="68">
        <f>IF(E169=Data!#REF!,Data!#REF!,"")</f>
      </c>
      <c r="N169" s="69">
        <f>IF(AND(Data!#REF!&lt;&gt;"",Data!#REF!="Accept&amp;#233;"),Data!#REF!,"")</f>
      </c>
    </row>
    <row x14ac:dyDescent="0.25" r="170" customHeight="1" ht="19.5" hidden="1">
      <c r="A170" s="62">
        <f>IF(AND(Data!#REF!&lt;&gt;"",Data!#REF!="Accept&amp;#233;"),Data!#REF!,"")</f>
      </c>
      <c r="B170" s="62">
        <f>IF(AND(Data!#REF!&lt;&gt;"",Data!#REF!="Accept&amp;#233;"),Data!#REF!,"")</f>
      </c>
      <c r="C170" s="63">
        <f>IF(D170&lt;&gt;"","S"&amp;TEXT(WEEKNUM(D170),"00"),"")</f>
      </c>
      <c r="D170" s="42">
        <f>IF(AND(Data!#REF!&lt;&gt;"",Data!#REF!="Accept&amp;#233;"),Data!#REF!,"")</f>
        <v>25569.041666666668</v>
      </c>
      <c r="E170" s="64">
        <f>IF(AND(Data!#REF!&lt;&gt;"",Data!#REF!="Accept&amp;#233;"),Data!#REF!,"")</f>
      </c>
      <c r="F170" s="65">
        <f>IF(AND(Data!#REF!&lt;&gt;"",Data!#REF!="Accept&amp;#233;"),Data!#REF!,"")</f>
      </c>
      <c r="G170" s="66">
        <f>IF(Data!#REF!='Delivery Plan'!E170,Data!#REF!,"")</f>
      </c>
      <c r="H170" s="53"/>
      <c r="I170" s="63">
        <f>IF(J170&lt;&gt;"","S"&amp;TEXT(WEEKNUM(J170),"00"),"")</f>
      </c>
      <c r="J170" s="42">
        <f>IF(AND(E170=Data!#REF!,Data!#REF!&lt;&gt;""),Data!#REF!,"")</f>
        <v>25569.041666666668</v>
      </c>
      <c r="K170" s="67">
        <f>IF(AND(E170=Data!#REF!,Data!#REF!&lt;&gt;""),Data!#REF!,"")</f>
        <v>25569.041666666668</v>
      </c>
      <c r="L170" s="68">
        <f>IF(E170=Data!#REF!,Data!#REF!,"")</f>
      </c>
      <c r="M170" s="68">
        <f>IF(E170=Data!#REF!,Data!#REF!,"")</f>
      </c>
      <c r="N170" s="69">
        <f>IF(AND(Data!#REF!&lt;&gt;"",Data!#REF!="Accept&amp;#233;"),Data!#REF!,"")</f>
      </c>
    </row>
    <row x14ac:dyDescent="0.25" r="171" customHeight="1" ht="19.5" hidden="1">
      <c r="A171" s="62">
        <f>IF(AND(Data!#REF!&lt;&gt;"",Data!#REF!="Accept&amp;#233;"),Data!#REF!,"")</f>
      </c>
      <c r="B171" s="62">
        <f>IF(AND(Data!#REF!&lt;&gt;"",Data!#REF!="Accept&amp;#233;"),Data!#REF!,"")</f>
      </c>
      <c r="C171" s="63">
        <f>IF(D171&lt;&gt;"","S"&amp;TEXT(WEEKNUM(D171),"00"),"")</f>
      </c>
      <c r="D171" s="42">
        <f>IF(AND(Data!#REF!&lt;&gt;"",Data!#REF!="Accept&amp;#233;"),Data!#REF!,"")</f>
        <v>25569.041666666668</v>
      </c>
      <c r="E171" s="64">
        <f>IF(AND(Data!#REF!&lt;&gt;"",Data!#REF!="Accept&amp;#233;"),Data!#REF!,"")</f>
      </c>
      <c r="F171" s="65">
        <f>IF(AND(Data!#REF!&lt;&gt;"",Data!#REF!="Accept&amp;#233;"),Data!#REF!,"")</f>
      </c>
      <c r="G171" s="66">
        <f>IF(Data!#REF!='Delivery Plan'!E171,Data!#REF!,"")</f>
      </c>
      <c r="H171" s="53"/>
      <c r="I171" s="63">
        <f>IF(J171&lt;&gt;"","S"&amp;TEXT(WEEKNUM(J171),"00"),"")</f>
      </c>
      <c r="J171" s="42">
        <f>IF(AND(E171=Data!#REF!,Data!#REF!&lt;&gt;""),Data!#REF!,"")</f>
        <v>25569.041666666668</v>
      </c>
      <c r="K171" s="67">
        <f>IF(AND(E171=Data!#REF!,Data!#REF!&lt;&gt;""),Data!#REF!,"")</f>
        <v>25569.041666666668</v>
      </c>
      <c r="L171" s="68">
        <f>IF(E171=Data!#REF!,Data!#REF!,"")</f>
      </c>
      <c r="M171" s="68">
        <f>IF(E171=Data!#REF!,Data!#REF!,"")</f>
      </c>
      <c r="N171" s="69">
        <f>IF(AND(Data!#REF!&lt;&gt;"",Data!#REF!="Accept&amp;#233;"),Data!#REF!,"")</f>
      </c>
    </row>
    <row x14ac:dyDescent="0.25" r="172" customHeight="1" ht="19.5" hidden="1">
      <c r="A172" s="62">
        <f>IF(AND(Data!#REF!&lt;&gt;"",Data!#REF!="Accept&amp;#233;"),Data!#REF!,"")</f>
      </c>
      <c r="B172" s="62">
        <f>IF(AND(Data!#REF!&lt;&gt;"",Data!#REF!="Accept&amp;#233;"),Data!#REF!,"")</f>
      </c>
      <c r="C172" s="63">
        <f>IF(D172&lt;&gt;"","S"&amp;TEXT(WEEKNUM(D172),"00"),"")</f>
      </c>
      <c r="D172" s="42">
        <f>IF(AND(Data!#REF!&lt;&gt;"",Data!#REF!="Accept&amp;#233;"),Data!#REF!,"")</f>
        <v>25569.041666666668</v>
      </c>
      <c r="E172" s="64">
        <f>IF(AND(Data!#REF!&lt;&gt;"",Data!#REF!="Accept&amp;#233;"),Data!#REF!,"")</f>
      </c>
      <c r="F172" s="65">
        <f>IF(AND(Data!#REF!&lt;&gt;"",Data!#REF!="Accept&amp;#233;"),Data!#REF!,"")</f>
      </c>
      <c r="G172" s="66">
        <f>IF(Data!#REF!='Delivery Plan'!E172,Data!#REF!,"")</f>
      </c>
      <c r="H172" s="53"/>
      <c r="I172" s="63">
        <f>IF(J172&lt;&gt;"","S"&amp;TEXT(WEEKNUM(J172),"00"),"")</f>
      </c>
      <c r="J172" s="42">
        <f>IF(AND(E172=Data!#REF!,Data!#REF!&lt;&gt;""),Data!#REF!,"")</f>
        <v>25569.041666666668</v>
      </c>
      <c r="K172" s="67">
        <f>IF(AND(E172=Data!#REF!,Data!#REF!&lt;&gt;""),Data!#REF!,"")</f>
        <v>25569.041666666668</v>
      </c>
      <c r="L172" s="68">
        <f>IF(E172=Data!#REF!,Data!#REF!,"")</f>
      </c>
      <c r="M172" s="68">
        <f>IF(E172=Data!#REF!,Data!#REF!,"")</f>
      </c>
      <c r="N172" s="69">
        <f>IF(AND(Data!#REF!&lt;&gt;"",Data!#REF!="Accept&amp;#233;"),Data!#REF!,"")</f>
      </c>
    </row>
    <row x14ac:dyDescent="0.25" r="173" customHeight="1" ht="19.5" hidden="1">
      <c r="A173" s="62">
        <f>IF(AND(Data!#REF!&lt;&gt;"",Data!#REF!="Accept&amp;#233;"),Data!#REF!,"")</f>
      </c>
      <c r="B173" s="62">
        <f>IF(AND(Data!#REF!&lt;&gt;"",Data!#REF!="Accept&amp;#233;"),Data!#REF!,"")</f>
      </c>
      <c r="C173" s="63">
        <f>IF(D173&lt;&gt;"","S"&amp;TEXT(WEEKNUM(D173),"00"),"")</f>
      </c>
      <c r="D173" s="42">
        <f>IF(AND(Data!#REF!&lt;&gt;"",Data!#REF!="Accept&amp;#233;"),Data!#REF!,"")</f>
        <v>25569.041666666668</v>
      </c>
      <c r="E173" s="64">
        <f>IF(AND(Data!#REF!&lt;&gt;"",Data!#REF!="Accept&amp;#233;"),Data!#REF!,"")</f>
      </c>
      <c r="F173" s="65">
        <f>IF(AND(Data!#REF!&lt;&gt;"",Data!#REF!="Accept&amp;#233;"),Data!#REF!,"")</f>
      </c>
      <c r="G173" s="66">
        <f>IF(Data!#REF!='Delivery Plan'!E173,Data!#REF!,"")</f>
      </c>
      <c r="H173" s="53"/>
      <c r="I173" s="63">
        <f>IF(J173&lt;&gt;"","S"&amp;TEXT(WEEKNUM(J173),"00"),"")</f>
      </c>
      <c r="J173" s="42">
        <f>IF(AND(E173=Data!#REF!,Data!#REF!&lt;&gt;""),Data!#REF!,"")</f>
        <v>25569.041666666668</v>
      </c>
      <c r="K173" s="67">
        <f>IF(AND(E173=Data!#REF!,Data!#REF!&lt;&gt;""),Data!#REF!,"")</f>
        <v>25569.041666666668</v>
      </c>
      <c r="L173" s="68">
        <f>IF(E173=Data!#REF!,Data!#REF!,"")</f>
      </c>
      <c r="M173" s="68">
        <f>IF(E173=Data!#REF!,Data!#REF!,"")</f>
      </c>
      <c r="N173" s="69">
        <f>IF(AND(Data!#REF!&lt;&gt;"",Data!#REF!="Accept&amp;#233;"),Data!#REF!,"")</f>
      </c>
    </row>
    <row x14ac:dyDescent="0.25" r="174" customHeight="1" ht="19.5" hidden="1">
      <c r="A174" s="62">
        <f>IF(AND(Data!#REF!&lt;&gt;"",Data!#REF!="Accept&amp;#233;"),Data!#REF!,"")</f>
      </c>
      <c r="B174" s="62">
        <f>IF(AND(Data!#REF!&lt;&gt;"",Data!#REF!="Accept&amp;#233;"),Data!#REF!,"")</f>
      </c>
      <c r="C174" s="63">
        <f>IF(D174&lt;&gt;"","S"&amp;TEXT(WEEKNUM(D174),"00"),"")</f>
      </c>
      <c r="D174" s="42">
        <f>IF(AND(Data!#REF!&lt;&gt;"",Data!#REF!="Accept&amp;#233;"),Data!#REF!,"")</f>
        <v>25569.041666666668</v>
      </c>
      <c r="E174" s="64">
        <f>IF(AND(Data!#REF!&lt;&gt;"",Data!#REF!="Accept&amp;#233;"),Data!#REF!,"")</f>
      </c>
      <c r="F174" s="65">
        <f>IF(AND(Data!#REF!&lt;&gt;"",Data!#REF!="Accept&amp;#233;"),Data!#REF!,"")</f>
      </c>
      <c r="G174" s="66">
        <f>IF(Data!#REF!='Delivery Plan'!E174,Data!#REF!,"")</f>
      </c>
      <c r="H174" s="53"/>
      <c r="I174" s="63">
        <f>IF(J174&lt;&gt;"","S"&amp;TEXT(WEEKNUM(J174),"00"),"")</f>
      </c>
      <c r="J174" s="42">
        <f>IF(AND(E174=Data!#REF!,Data!#REF!&lt;&gt;""),Data!#REF!,"")</f>
        <v>25569.041666666668</v>
      </c>
      <c r="K174" s="67">
        <f>IF(AND(E174=Data!#REF!,Data!#REF!&lt;&gt;""),Data!#REF!,"")</f>
        <v>25569.041666666668</v>
      </c>
      <c r="L174" s="68">
        <f>IF(E174=Data!#REF!,Data!#REF!,"")</f>
      </c>
      <c r="M174" s="68">
        <f>IF(E174=Data!#REF!,Data!#REF!,"")</f>
      </c>
      <c r="N174" s="69">
        <f>IF(AND(Data!#REF!&lt;&gt;"",Data!#REF!="Accept&amp;#233;"),Data!#REF!,"")</f>
      </c>
    </row>
    <row x14ac:dyDescent="0.25" r="175" customHeight="1" ht="19.5" hidden="1">
      <c r="A175" s="62">
        <f>IF(AND(Data!#REF!&lt;&gt;"",Data!#REF!="Accept&amp;#233;"),Data!#REF!,"")</f>
      </c>
      <c r="B175" s="62">
        <f>IF(AND(Data!#REF!&lt;&gt;"",Data!#REF!="Accept&amp;#233;"),Data!#REF!,"")</f>
      </c>
      <c r="C175" s="63">
        <f>IF(D175&lt;&gt;"","S"&amp;TEXT(WEEKNUM(D175),"00"),"")</f>
      </c>
      <c r="D175" s="42">
        <f>IF(AND(Data!#REF!&lt;&gt;"",Data!#REF!="Accept&amp;#233;"),Data!#REF!,"")</f>
        <v>25569.041666666668</v>
      </c>
      <c r="E175" s="64">
        <f>IF(AND(Data!#REF!&lt;&gt;"",Data!#REF!="Accept&amp;#233;"),Data!#REF!,"")</f>
      </c>
      <c r="F175" s="65">
        <f>IF(AND(Data!#REF!&lt;&gt;"",Data!#REF!="Accept&amp;#233;"),Data!#REF!,"")</f>
      </c>
      <c r="G175" s="66">
        <f>IF(Data!#REF!='Delivery Plan'!E175,Data!#REF!,"")</f>
      </c>
      <c r="H175" s="53"/>
      <c r="I175" s="63">
        <f>IF(J175&lt;&gt;"","S"&amp;TEXT(WEEKNUM(J175),"00"),"")</f>
      </c>
      <c r="J175" s="42">
        <f>IF(AND(E175=Data!#REF!,Data!#REF!&lt;&gt;""),Data!#REF!,"")</f>
        <v>25569.041666666668</v>
      </c>
      <c r="K175" s="67">
        <f>IF(AND(E175=Data!#REF!,Data!#REF!&lt;&gt;""),Data!#REF!,"")</f>
        <v>25569.041666666668</v>
      </c>
      <c r="L175" s="68">
        <f>IF(E175=Data!#REF!,Data!#REF!,"")</f>
      </c>
      <c r="M175" s="68">
        <f>IF(E175=Data!#REF!,Data!#REF!,"")</f>
      </c>
      <c r="N175" s="69">
        <f>IF(AND(Data!#REF!&lt;&gt;"",Data!#REF!="Accept&amp;#233;"),Data!#REF!,"")</f>
      </c>
    </row>
    <row x14ac:dyDescent="0.25" r="176" customHeight="1" ht="19.5" hidden="1">
      <c r="A176" s="62">
        <f>IF(AND(Data!#REF!&lt;&gt;"",Data!#REF!="Accept&amp;#233;"),Data!#REF!,"")</f>
      </c>
      <c r="B176" s="62">
        <f>IF(AND(Data!#REF!&lt;&gt;"",Data!#REF!="Accept&amp;#233;"),Data!#REF!,"")</f>
      </c>
      <c r="C176" s="63">
        <f>IF(D176&lt;&gt;"","S"&amp;TEXT(WEEKNUM(D176),"00"),"")</f>
      </c>
      <c r="D176" s="42">
        <f>IF(AND(Data!#REF!&lt;&gt;"",Data!#REF!="Accept&amp;#233;"),Data!#REF!,"")</f>
        <v>25569.041666666668</v>
      </c>
      <c r="E176" s="64">
        <f>IF(AND(Data!#REF!&lt;&gt;"",Data!#REF!="Accept&amp;#233;"),Data!#REF!,"")</f>
      </c>
      <c r="F176" s="65">
        <f>IF(AND(Data!#REF!&lt;&gt;"",Data!#REF!="Accept&amp;#233;"),Data!#REF!,"")</f>
      </c>
      <c r="G176" s="66">
        <f>IF(Data!#REF!='Delivery Plan'!E176,Data!#REF!,"")</f>
      </c>
      <c r="H176" s="53"/>
      <c r="I176" s="63">
        <f>IF(J176&lt;&gt;"","S"&amp;TEXT(WEEKNUM(J176),"00"),"")</f>
      </c>
      <c r="J176" s="42">
        <f>IF(AND(E176=Data!#REF!,Data!#REF!&lt;&gt;""),Data!#REF!,"")</f>
        <v>25569.041666666668</v>
      </c>
      <c r="K176" s="67">
        <f>IF(AND(E176=Data!#REF!,Data!#REF!&lt;&gt;""),Data!#REF!,"")</f>
        <v>25569.041666666668</v>
      </c>
      <c r="L176" s="68">
        <f>IF(E176=Data!#REF!,Data!#REF!,"")</f>
      </c>
      <c r="M176" s="68">
        <f>IF(E176=Data!#REF!,Data!#REF!,"")</f>
      </c>
      <c r="N176" s="69">
        <f>IF(AND(Data!#REF!&lt;&gt;"",Data!#REF!="Accept&amp;#233;"),Data!#REF!,"")</f>
      </c>
    </row>
    <row x14ac:dyDescent="0.25" r="177" customHeight="1" ht="19.5" hidden="1">
      <c r="A177" s="62">
        <f>IF(AND(Data!#REF!&lt;&gt;"",Data!#REF!="Accept&amp;#233;"),Data!#REF!,"")</f>
      </c>
      <c r="B177" s="62">
        <f>IF(AND(Data!#REF!&lt;&gt;"",Data!#REF!="Accept&amp;#233;"),Data!#REF!,"")</f>
      </c>
      <c r="C177" s="63">
        <f>IF(D177&lt;&gt;"","S"&amp;TEXT(WEEKNUM(D177),"00"),"")</f>
      </c>
      <c r="D177" s="42">
        <f>IF(AND(Data!#REF!&lt;&gt;"",Data!#REF!="Accept&amp;#233;"),Data!#REF!,"")</f>
        <v>25569.041666666668</v>
      </c>
      <c r="E177" s="64">
        <f>IF(AND(Data!#REF!&lt;&gt;"",Data!#REF!="Accept&amp;#233;"),Data!#REF!,"")</f>
      </c>
      <c r="F177" s="65">
        <f>IF(AND(Data!#REF!&lt;&gt;"",Data!#REF!="Accept&amp;#233;"),Data!#REF!,"")</f>
      </c>
      <c r="G177" s="66">
        <f>IF(Data!#REF!='Delivery Plan'!E177,Data!#REF!,"")</f>
      </c>
      <c r="H177" s="53"/>
      <c r="I177" s="63">
        <f>IF(J177&lt;&gt;"","S"&amp;TEXT(WEEKNUM(J177),"00"),"")</f>
      </c>
      <c r="J177" s="42">
        <f>IF(AND(E177=Data!#REF!,Data!#REF!&lt;&gt;""),Data!#REF!,"")</f>
        <v>25569.041666666668</v>
      </c>
      <c r="K177" s="67">
        <f>IF(AND(E177=Data!#REF!,Data!#REF!&lt;&gt;""),Data!#REF!,"")</f>
        <v>25569.041666666668</v>
      </c>
      <c r="L177" s="68">
        <f>IF(E177=Data!#REF!,Data!#REF!,"")</f>
      </c>
      <c r="M177" s="68">
        <f>IF(E177=Data!#REF!,Data!#REF!,"")</f>
      </c>
      <c r="N177" s="69">
        <f>IF(AND(Data!#REF!&lt;&gt;"",Data!#REF!="Accept&amp;#233;"),Data!#REF!,"")</f>
      </c>
    </row>
    <row x14ac:dyDescent="0.25" r="178" customHeight="1" ht="19.5" hidden="1">
      <c r="A178" s="62">
        <f>IF(AND(Data!#REF!&lt;&gt;"",Data!#REF!="Accept&amp;#233;"),Data!#REF!,"")</f>
      </c>
      <c r="B178" s="62">
        <f>IF(AND(Data!#REF!&lt;&gt;"",Data!#REF!="Accept&amp;#233;"),Data!#REF!,"")</f>
      </c>
      <c r="C178" s="63">
        <f>IF(D178&lt;&gt;"","S"&amp;TEXT(WEEKNUM(D178),"00"),"")</f>
      </c>
      <c r="D178" s="42">
        <f>IF(AND(Data!#REF!&lt;&gt;"",Data!#REF!="Accept&amp;#233;"),Data!#REF!,"")</f>
        <v>25569.041666666668</v>
      </c>
      <c r="E178" s="64">
        <f>IF(AND(Data!#REF!&lt;&gt;"",Data!#REF!="Accept&amp;#233;"),Data!#REF!,"")</f>
      </c>
      <c r="F178" s="65">
        <f>IF(AND(Data!#REF!&lt;&gt;"",Data!#REF!="Accept&amp;#233;"),Data!#REF!,"")</f>
      </c>
      <c r="G178" s="66">
        <f>IF(Data!#REF!='Delivery Plan'!E178,Data!#REF!,"")</f>
      </c>
      <c r="H178" s="53"/>
      <c r="I178" s="63">
        <f>IF(J178&lt;&gt;"","S"&amp;TEXT(WEEKNUM(J178),"00"),"")</f>
      </c>
      <c r="J178" s="42">
        <f>IF(AND(E178=Data!#REF!,Data!#REF!&lt;&gt;""),Data!#REF!,"")</f>
        <v>25569.041666666668</v>
      </c>
      <c r="K178" s="67">
        <f>IF(AND(E178=Data!#REF!,Data!#REF!&lt;&gt;""),Data!#REF!,"")</f>
        <v>25569.041666666668</v>
      </c>
      <c r="L178" s="68">
        <f>IF(E178=Data!#REF!,Data!#REF!,"")</f>
      </c>
      <c r="M178" s="68">
        <f>IF(E178=Data!#REF!,Data!#REF!,"")</f>
      </c>
      <c r="N178" s="69">
        <f>IF(AND(Data!#REF!&lt;&gt;"",Data!#REF!="Accept&amp;#233;"),Data!#REF!,"")</f>
      </c>
    </row>
    <row x14ac:dyDescent="0.25" r="179" customHeight="1" ht="19.5" hidden="1">
      <c r="A179" s="62">
        <f>IF(AND(Data!#REF!&lt;&gt;"",Data!#REF!="Accept&amp;#233;"),Data!#REF!,"")</f>
      </c>
      <c r="B179" s="62">
        <f>IF(AND(Data!#REF!&lt;&gt;"",Data!#REF!="Accept&amp;#233;"),Data!#REF!,"")</f>
      </c>
      <c r="C179" s="63">
        <f>IF(D179&lt;&gt;"","S"&amp;TEXT(WEEKNUM(D179),"00"),"")</f>
      </c>
      <c r="D179" s="42">
        <f>IF(AND(Data!#REF!&lt;&gt;"",Data!#REF!="Accept&amp;#233;"),Data!#REF!,"")</f>
        <v>25569.041666666668</v>
      </c>
      <c r="E179" s="64">
        <f>IF(AND(Data!#REF!&lt;&gt;"",Data!#REF!="Accept&amp;#233;"),Data!#REF!,"")</f>
      </c>
      <c r="F179" s="65">
        <f>IF(AND(Data!#REF!&lt;&gt;"",Data!#REF!="Accept&amp;#233;"),Data!#REF!,"")</f>
      </c>
      <c r="G179" s="66">
        <f>IF(Data!#REF!='Delivery Plan'!E179,Data!#REF!,"")</f>
      </c>
      <c r="H179" s="53"/>
      <c r="I179" s="63">
        <f>IF(J179&lt;&gt;"","S"&amp;TEXT(WEEKNUM(J179),"00"),"")</f>
      </c>
      <c r="J179" s="42">
        <f>IF(AND(E179=Data!#REF!,Data!#REF!&lt;&gt;""),Data!#REF!,"")</f>
        <v>25569.041666666668</v>
      </c>
      <c r="K179" s="67">
        <f>IF(AND(E179=Data!#REF!,Data!#REF!&lt;&gt;""),Data!#REF!,"")</f>
        <v>25569.041666666668</v>
      </c>
      <c r="L179" s="68">
        <f>IF(E179=Data!#REF!,Data!#REF!,"")</f>
      </c>
      <c r="M179" s="68">
        <f>IF(E179=Data!#REF!,Data!#REF!,"")</f>
      </c>
      <c r="N179" s="69">
        <f>IF(AND(Data!#REF!&lt;&gt;"",Data!#REF!="Accept&amp;#233;"),Data!#REF!,"")</f>
      </c>
    </row>
    <row x14ac:dyDescent="0.25" r="180" customHeight="1" ht="19.5" hidden="1">
      <c r="A180" s="62">
        <f>IF(AND(Data!#REF!&lt;&gt;"",Data!#REF!="Accept&amp;#233;"),Data!#REF!,"")</f>
      </c>
      <c r="B180" s="62">
        <f>IF(AND(Data!#REF!&lt;&gt;"",Data!#REF!="Accept&amp;#233;"),Data!#REF!,"")</f>
      </c>
      <c r="C180" s="63">
        <f>IF(D180&lt;&gt;"","S"&amp;TEXT(WEEKNUM(D180),"00"),"")</f>
      </c>
      <c r="D180" s="42">
        <f>IF(AND(Data!#REF!&lt;&gt;"",Data!#REF!="Accept&amp;#233;"),Data!#REF!,"")</f>
        <v>25569.041666666668</v>
      </c>
      <c r="E180" s="64">
        <f>IF(AND(Data!#REF!&lt;&gt;"",Data!#REF!="Accept&amp;#233;"),Data!#REF!,"")</f>
      </c>
      <c r="F180" s="65">
        <f>IF(AND(Data!#REF!&lt;&gt;"",Data!#REF!="Accept&amp;#233;"),Data!#REF!,"")</f>
      </c>
      <c r="G180" s="66">
        <f>IF(Data!#REF!='Delivery Plan'!E180,Data!#REF!,"")</f>
      </c>
      <c r="H180" s="53"/>
      <c r="I180" s="63">
        <f>IF(J180&lt;&gt;"","S"&amp;TEXT(WEEKNUM(J180),"00"),"")</f>
      </c>
      <c r="J180" s="42">
        <f>IF(AND(E180=Data!#REF!,Data!#REF!&lt;&gt;""),Data!#REF!,"")</f>
        <v>25569.041666666668</v>
      </c>
      <c r="K180" s="67">
        <f>IF(AND(E180=Data!#REF!,Data!#REF!&lt;&gt;""),Data!#REF!,"")</f>
        <v>25569.041666666668</v>
      </c>
      <c r="L180" s="68">
        <f>IF(E180=Data!#REF!,Data!#REF!,"")</f>
      </c>
      <c r="M180" s="68">
        <f>IF(E180=Data!#REF!,Data!#REF!,"")</f>
      </c>
      <c r="N180" s="69">
        <f>IF(AND(Data!#REF!&lt;&gt;"",Data!#REF!="Accept&amp;#233;"),Data!#REF!,"")</f>
      </c>
    </row>
    <row x14ac:dyDescent="0.25" r="181" customHeight="1" ht="19.5" hidden="1">
      <c r="A181" s="62">
        <f>IF(AND(Data!#REF!&lt;&gt;"",Data!#REF!="Accept&amp;#233;"),Data!#REF!,"")</f>
      </c>
      <c r="B181" s="62">
        <f>IF(AND(Data!#REF!&lt;&gt;"",Data!#REF!="Accept&amp;#233;"),Data!#REF!,"")</f>
      </c>
      <c r="C181" s="63">
        <f>IF(D181&lt;&gt;"","S"&amp;TEXT(WEEKNUM(D181),"00"),"")</f>
      </c>
      <c r="D181" s="42">
        <f>IF(AND(Data!#REF!&lt;&gt;"",Data!#REF!="Accept&amp;#233;"),Data!#REF!,"")</f>
        <v>25569.041666666668</v>
      </c>
      <c r="E181" s="64">
        <f>IF(AND(Data!#REF!&lt;&gt;"",Data!#REF!="Accept&amp;#233;"),Data!#REF!,"")</f>
      </c>
      <c r="F181" s="65">
        <f>IF(AND(Data!#REF!&lt;&gt;"",Data!#REF!="Accept&amp;#233;"),Data!#REF!,"")</f>
      </c>
      <c r="G181" s="66">
        <f>IF(Data!#REF!='Delivery Plan'!E181,Data!#REF!,"")</f>
      </c>
      <c r="H181" s="53"/>
      <c r="I181" s="63">
        <f>IF(J181&lt;&gt;"","S"&amp;TEXT(WEEKNUM(J181),"00"),"")</f>
      </c>
      <c r="J181" s="42">
        <f>IF(AND(E181=Data!#REF!,Data!#REF!&lt;&gt;""),Data!#REF!,"")</f>
        <v>25569.041666666668</v>
      </c>
      <c r="K181" s="67">
        <f>IF(AND(E181=Data!#REF!,Data!#REF!&lt;&gt;""),Data!#REF!,"")</f>
        <v>25569.041666666668</v>
      </c>
      <c r="L181" s="68">
        <f>IF(E181=Data!#REF!,Data!#REF!,"")</f>
      </c>
      <c r="M181" s="68">
        <f>IF(E181=Data!#REF!,Data!#REF!,"")</f>
      </c>
      <c r="N181" s="69">
        <f>IF(AND(Data!#REF!&lt;&gt;"",Data!#REF!="Accept&amp;#233;"),Data!#REF!,"")</f>
      </c>
    </row>
    <row x14ac:dyDescent="0.25" r="182" customHeight="1" ht="19.5" hidden="1">
      <c r="A182" s="62">
        <f>IF(AND(Data!#REF!&lt;&gt;"",Data!#REF!="Accept&amp;#233;"),Data!#REF!,"")</f>
      </c>
      <c r="B182" s="62">
        <f>IF(AND(Data!#REF!&lt;&gt;"",Data!#REF!="Accept&amp;#233;"),Data!#REF!,"")</f>
      </c>
      <c r="C182" s="63">
        <f>IF(D182&lt;&gt;"","S"&amp;TEXT(WEEKNUM(D182),"00"),"")</f>
      </c>
      <c r="D182" s="42">
        <f>IF(AND(Data!#REF!&lt;&gt;"",Data!#REF!="Accept&amp;#233;"),Data!#REF!,"")</f>
        <v>25569.041666666668</v>
      </c>
      <c r="E182" s="64">
        <f>IF(AND(Data!#REF!&lt;&gt;"",Data!#REF!="Accept&amp;#233;"),Data!#REF!,"")</f>
      </c>
      <c r="F182" s="65">
        <f>IF(AND(Data!#REF!&lt;&gt;"",Data!#REF!="Accept&amp;#233;"),Data!#REF!,"")</f>
      </c>
      <c r="G182" s="66">
        <f>IF(Data!#REF!='Delivery Plan'!E182,Data!#REF!,"")</f>
      </c>
      <c r="H182" s="53"/>
      <c r="I182" s="63">
        <f>IF(J182&lt;&gt;"","S"&amp;TEXT(WEEKNUM(J182),"00"),"")</f>
      </c>
      <c r="J182" s="42">
        <f>IF(AND(E182=Data!#REF!,Data!#REF!&lt;&gt;""),Data!#REF!,"")</f>
        <v>25569.041666666668</v>
      </c>
      <c r="K182" s="67">
        <f>IF(AND(E182=Data!#REF!,Data!#REF!&lt;&gt;""),Data!#REF!,"")</f>
        <v>25569.041666666668</v>
      </c>
      <c r="L182" s="68">
        <f>IF(E182=Data!#REF!,Data!#REF!,"")</f>
      </c>
      <c r="M182" s="68">
        <f>IF(E182=Data!#REF!,Data!#REF!,"")</f>
      </c>
      <c r="N182" s="69">
        <f>IF(AND(Data!#REF!&lt;&gt;"",Data!#REF!="Accept&amp;#233;"),Data!#REF!,"")</f>
      </c>
    </row>
    <row x14ac:dyDescent="0.25" r="183" customHeight="1" ht="19.5" hidden="1">
      <c r="A183" s="62">
        <f>IF(AND(Data!#REF!&lt;&gt;"",Data!#REF!="Accept&amp;#233;"),Data!#REF!,"")</f>
      </c>
      <c r="B183" s="62">
        <f>IF(AND(Data!#REF!&lt;&gt;"",Data!#REF!="Accept&amp;#233;"),Data!#REF!,"")</f>
      </c>
      <c r="C183" s="63">
        <f>IF(D183&lt;&gt;"","S"&amp;TEXT(WEEKNUM(D183),"00"),"")</f>
      </c>
      <c r="D183" s="42">
        <f>IF(AND(Data!#REF!&lt;&gt;"",Data!#REF!="Accept&amp;#233;"),Data!#REF!,"")</f>
        <v>25569.041666666668</v>
      </c>
      <c r="E183" s="64">
        <f>IF(AND(Data!#REF!&lt;&gt;"",Data!#REF!="Accept&amp;#233;"),Data!#REF!,"")</f>
      </c>
      <c r="F183" s="65">
        <f>IF(AND(Data!#REF!&lt;&gt;"",Data!#REF!="Accept&amp;#233;"),Data!#REF!,"")</f>
      </c>
      <c r="G183" s="66">
        <f>IF(Data!#REF!='Delivery Plan'!E183,Data!#REF!,"")</f>
      </c>
      <c r="H183" s="53"/>
      <c r="I183" s="63">
        <f>IF(J183&lt;&gt;"","S"&amp;TEXT(WEEKNUM(J183),"00"),"")</f>
      </c>
      <c r="J183" s="42">
        <f>IF(AND(E183=Data!#REF!,Data!#REF!&lt;&gt;""),Data!#REF!,"")</f>
        <v>25569.041666666668</v>
      </c>
      <c r="K183" s="67">
        <f>IF(AND(E183=Data!#REF!,Data!#REF!&lt;&gt;""),Data!#REF!,"")</f>
        <v>25569.041666666668</v>
      </c>
      <c r="L183" s="68">
        <f>IF(E183=Data!#REF!,Data!#REF!,"")</f>
      </c>
      <c r="M183" s="68">
        <f>IF(E183=Data!#REF!,Data!#REF!,"")</f>
      </c>
      <c r="N183" s="69">
        <f>IF(AND(Data!#REF!&lt;&gt;"",Data!#REF!="Accept&amp;#233;"),Data!#REF!,"")</f>
      </c>
    </row>
    <row x14ac:dyDescent="0.25" r="184" customHeight="1" ht="19.5" hidden="1">
      <c r="A184" s="62">
        <f>IF(AND(Data!#REF!&lt;&gt;"",Data!#REF!="Accept&amp;#233;"),Data!#REF!,"")</f>
      </c>
      <c r="B184" s="62">
        <f>IF(AND(Data!#REF!&lt;&gt;"",Data!#REF!="Accept&amp;#233;"),Data!#REF!,"")</f>
      </c>
      <c r="C184" s="63">
        <f>IF(D184&lt;&gt;"","S"&amp;TEXT(WEEKNUM(D184),"00"),"")</f>
      </c>
      <c r="D184" s="42">
        <f>IF(AND(Data!#REF!&lt;&gt;"",Data!#REF!="Accept&amp;#233;"),Data!#REF!,"")</f>
        <v>25569.041666666668</v>
      </c>
      <c r="E184" s="64">
        <f>IF(AND(Data!#REF!&lt;&gt;"",Data!#REF!="Accept&amp;#233;"),Data!#REF!,"")</f>
      </c>
      <c r="F184" s="65">
        <f>IF(AND(Data!#REF!&lt;&gt;"",Data!#REF!="Accept&amp;#233;"),Data!#REF!,"")</f>
      </c>
      <c r="G184" s="66">
        <f>IF(Data!#REF!='Delivery Plan'!E184,Data!#REF!,"")</f>
      </c>
      <c r="H184" s="53"/>
      <c r="I184" s="63">
        <f>IF(J184&lt;&gt;"","S"&amp;TEXT(WEEKNUM(J184),"00"),"")</f>
      </c>
      <c r="J184" s="42">
        <f>IF(AND(E184=Data!#REF!,Data!#REF!&lt;&gt;""),Data!#REF!,"")</f>
        <v>25569.041666666668</v>
      </c>
      <c r="K184" s="67">
        <f>IF(AND(E184=Data!#REF!,Data!#REF!&lt;&gt;""),Data!#REF!,"")</f>
        <v>25569.041666666668</v>
      </c>
      <c r="L184" s="68">
        <f>IF(E184=Data!#REF!,Data!#REF!,"")</f>
      </c>
      <c r="M184" s="68">
        <f>IF(E184=Data!#REF!,Data!#REF!,"")</f>
      </c>
      <c r="N184" s="69">
        <f>IF(AND(Data!#REF!&lt;&gt;"",Data!#REF!="Accept&amp;#233;"),Data!#REF!,"")</f>
      </c>
    </row>
    <row x14ac:dyDescent="0.25" r="185" customHeight="1" ht="19.5" hidden="1">
      <c r="A185" s="62">
        <f>IF(AND(Data!#REF!&lt;&gt;"",Data!#REF!="Accept&amp;#233;"),Data!#REF!,"")</f>
      </c>
      <c r="B185" s="62">
        <f>IF(AND(Data!#REF!&lt;&gt;"",Data!#REF!="Accept&amp;#233;"),Data!#REF!,"")</f>
      </c>
      <c r="C185" s="63">
        <f>IF(D185&lt;&gt;"","S"&amp;TEXT(WEEKNUM(D185),"00"),"")</f>
      </c>
      <c r="D185" s="42">
        <f>IF(AND(Data!#REF!&lt;&gt;"",Data!#REF!="Accept&amp;#233;"),Data!#REF!,"")</f>
        <v>25569.041666666668</v>
      </c>
      <c r="E185" s="64">
        <f>IF(AND(Data!#REF!&lt;&gt;"",Data!#REF!="Accept&amp;#233;"),Data!#REF!,"")</f>
      </c>
      <c r="F185" s="65">
        <f>IF(AND(Data!#REF!&lt;&gt;"",Data!#REF!="Accept&amp;#233;"),Data!#REF!,"")</f>
      </c>
      <c r="G185" s="66">
        <f>IF(Data!#REF!='Delivery Plan'!E185,Data!#REF!,"")</f>
      </c>
      <c r="H185" s="53"/>
      <c r="I185" s="63">
        <f>IF(J185&lt;&gt;"","S"&amp;TEXT(WEEKNUM(J185),"00"),"")</f>
      </c>
      <c r="J185" s="42">
        <f>IF(AND(E185=Data!#REF!,Data!#REF!&lt;&gt;""),Data!#REF!,"")</f>
        <v>25569.041666666668</v>
      </c>
      <c r="K185" s="67">
        <f>IF(AND(E185=Data!#REF!,Data!#REF!&lt;&gt;""),Data!#REF!,"")</f>
        <v>25569.041666666668</v>
      </c>
      <c r="L185" s="68">
        <f>IF(E185=Data!#REF!,Data!#REF!,"")</f>
      </c>
      <c r="M185" s="68">
        <f>IF(E185=Data!#REF!,Data!#REF!,"")</f>
      </c>
      <c r="N185" s="69">
        <f>IF(AND(Data!#REF!&lt;&gt;"",Data!#REF!="Accept&amp;#233;"),Data!#REF!,"")</f>
      </c>
    </row>
    <row x14ac:dyDescent="0.25" r="186" customHeight="1" ht="19.5" hidden="1">
      <c r="A186" s="62">
        <f>IF(AND(Data!#REF!&lt;&gt;"",Data!#REF!="Accept&amp;#233;"),Data!#REF!,"")</f>
      </c>
      <c r="B186" s="62">
        <f>IF(AND(Data!#REF!&lt;&gt;"",Data!#REF!="Accept&amp;#233;"),Data!#REF!,"")</f>
      </c>
      <c r="C186" s="63">
        <f>IF(D186&lt;&gt;"","S"&amp;TEXT(WEEKNUM(D186),"00"),"")</f>
      </c>
      <c r="D186" s="42">
        <f>IF(AND(Data!#REF!&lt;&gt;"",Data!#REF!="Accept&amp;#233;"),Data!#REF!,"")</f>
        <v>25569.041666666668</v>
      </c>
      <c r="E186" s="64">
        <f>IF(AND(Data!#REF!&lt;&gt;"",Data!#REF!="Accept&amp;#233;"),Data!#REF!,"")</f>
      </c>
      <c r="F186" s="65">
        <f>IF(AND(Data!#REF!&lt;&gt;"",Data!#REF!="Accept&amp;#233;"),Data!#REF!,"")</f>
      </c>
      <c r="G186" s="66">
        <f>IF(Data!#REF!='Delivery Plan'!E186,Data!#REF!,"")</f>
      </c>
      <c r="H186" s="53"/>
      <c r="I186" s="63">
        <f>IF(J186&lt;&gt;"","S"&amp;TEXT(WEEKNUM(J186),"00"),"")</f>
      </c>
      <c r="J186" s="42">
        <f>IF(AND(E186=Data!#REF!,Data!#REF!&lt;&gt;""),Data!#REF!,"")</f>
        <v>25569.041666666668</v>
      </c>
      <c r="K186" s="67">
        <f>IF(AND(E186=Data!#REF!,Data!#REF!&lt;&gt;""),Data!#REF!,"")</f>
        <v>25569.041666666668</v>
      </c>
      <c r="L186" s="68">
        <f>IF(E186=Data!#REF!,Data!#REF!,"")</f>
      </c>
      <c r="M186" s="68">
        <f>IF(E186=Data!#REF!,Data!#REF!,"")</f>
      </c>
      <c r="N186" s="69">
        <f>IF(AND(Data!#REF!&lt;&gt;"",Data!#REF!="Accept&amp;#233;"),Data!#REF!,"")</f>
      </c>
    </row>
    <row x14ac:dyDescent="0.25" r="187" customHeight="1" ht="19.5" hidden="1">
      <c r="A187" s="62">
        <f>IF(AND(Data!#REF!&lt;&gt;"",Data!#REF!="Accept&amp;#233;"),Data!#REF!,"")</f>
      </c>
      <c r="B187" s="62">
        <f>IF(AND(Data!#REF!&lt;&gt;"",Data!#REF!="Accept&amp;#233;"),Data!#REF!,"")</f>
      </c>
      <c r="C187" s="63">
        <f>IF(D187&lt;&gt;"","S"&amp;TEXT(WEEKNUM(D187),"00"),"")</f>
      </c>
      <c r="D187" s="42">
        <f>IF(AND(Data!#REF!&lt;&gt;"",Data!#REF!="Accept&amp;#233;"),Data!#REF!,"")</f>
        <v>25569.041666666668</v>
      </c>
      <c r="E187" s="64">
        <f>IF(AND(Data!#REF!&lt;&gt;"",Data!#REF!="Accept&amp;#233;"),Data!#REF!,"")</f>
      </c>
      <c r="F187" s="65">
        <f>IF(AND(Data!#REF!&lt;&gt;"",Data!#REF!="Accept&amp;#233;"),Data!#REF!,"")</f>
      </c>
      <c r="G187" s="66">
        <f>IF(Data!#REF!='Delivery Plan'!E187,Data!#REF!,"")</f>
      </c>
      <c r="H187" s="53"/>
      <c r="I187" s="63">
        <f>IF(J187&lt;&gt;"","S"&amp;TEXT(WEEKNUM(J187),"00"),"")</f>
      </c>
      <c r="J187" s="42">
        <f>IF(AND(E187=Data!#REF!,Data!#REF!&lt;&gt;""),Data!#REF!,"")</f>
        <v>25569.041666666668</v>
      </c>
      <c r="K187" s="67">
        <f>IF(AND(E187=Data!#REF!,Data!#REF!&lt;&gt;""),Data!#REF!,"")</f>
        <v>25569.041666666668</v>
      </c>
      <c r="L187" s="68">
        <f>IF(E187=Data!#REF!,Data!#REF!,"")</f>
      </c>
      <c r="M187" s="68">
        <f>IF(E187=Data!#REF!,Data!#REF!,"")</f>
      </c>
      <c r="N187" s="69">
        <f>IF(AND(Data!#REF!&lt;&gt;"",Data!#REF!="Accept&amp;#233;"),Data!#REF!,"")</f>
      </c>
    </row>
    <row x14ac:dyDescent="0.25" r="188" customHeight="1" ht="19.5" hidden="1">
      <c r="A188" s="62">
        <f>IF(AND(Data!#REF!&lt;&gt;"",Data!#REF!="Accept&amp;#233;"),Data!#REF!,"")</f>
      </c>
      <c r="B188" s="62">
        <f>IF(AND(Data!#REF!&lt;&gt;"",Data!#REF!="Accept&amp;#233;"),Data!#REF!,"")</f>
      </c>
      <c r="C188" s="63">
        <f>IF(D188&lt;&gt;"","S"&amp;TEXT(WEEKNUM(D188),"00"),"")</f>
      </c>
      <c r="D188" s="42">
        <f>IF(AND(Data!#REF!&lt;&gt;"",Data!#REF!="Accept&amp;#233;"),Data!#REF!,"")</f>
        <v>25569.041666666668</v>
      </c>
      <c r="E188" s="64">
        <f>IF(AND(Data!#REF!&lt;&gt;"",Data!#REF!="Accept&amp;#233;"),Data!#REF!,"")</f>
      </c>
      <c r="F188" s="65">
        <f>IF(AND(Data!#REF!&lt;&gt;"",Data!#REF!="Accept&amp;#233;"),Data!#REF!,"")</f>
      </c>
      <c r="G188" s="66">
        <f>IF(Data!#REF!='Delivery Plan'!E188,Data!#REF!,"")</f>
      </c>
      <c r="H188" s="53"/>
      <c r="I188" s="63">
        <f>IF(J188&lt;&gt;"","S"&amp;TEXT(WEEKNUM(J188),"00"),"")</f>
      </c>
      <c r="J188" s="42">
        <f>IF(AND(E188=Data!#REF!,Data!#REF!&lt;&gt;""),Data!#REF!,"")</f>
        <v>25569.041666666668</v>
      </c>
      <c r="K188" s="67">
        <f>IF(AND(E188=Data!#REF!,Data!#REF!&lt;&gt;""),Data!#REF!,"")</f>
        <v>25569.041666666668</v>
      </c>
      <c r="L188" s="68">
        <f>IF(E188=Data!#REF!,Data!#REF!,"")</f>
      </c>
      <c r="M188" s="68">
        <f>IF(E188=Data!#REF!,Data!#REF!,"")</f>
      </c>
      <c r="N188" s="69">
        <f>IF(AND(Data!#REF!&lt;&gt;"",Data!#REF!="Accept&amp;#233;"),Data!#REF!,"")</f>
      </c>
    </row>
    <row x14ac:dyDescent="0.25" r="189" customHeight="1" ht="19.5" hidden="1">
      <c r="A189" s="62">
        <f>IF(AND(Data!#REF!&lt;&gt;"",Data!#REF!="Accept&amp;#233;"),Data!#REF!,"")</f>
      </c>
      <c r="B189" s="62">
        <f>IF(AND(Data!#REF!&lt;&gt;"",Data!#REF!="Accept&amp;#233;"),Data!#REF!,"")</f>
      </c>
      <c r="C189" s="63">
        <f>IF(D189&lt;&gt;"","S"&amp;TEXT(WEEKNUM(D189),"00"),"")</f>
      </c>
      <c r="D189" s="42">
        <f>IF(AND(Data!#REF!&lt;&gt;"",Data!#REF!="Accept&amp;#233;"),Data!#REF!,"")</f>
        <v>25569.041666666668</v>
      </c>
      <c r="E189" s="64">
        <f>IF(AND(Data!#REF!&lt;&gt;"",Data!#REF!="Accept&amp;#233;"),Data!#REF!,"")</f>
      </c>
      <c r="F189" s="65">
        <f>IF(AND(Data!#REF!&lt;&gt;"",Data!#REF!="Accept&amp;#233;"),Data!#REF!,"")</f>
      </c>
      <c r="G189" s="66">
        <f>IF(Data!#REF!='Delivery Plan'!E189,Data!#REF!,"")</f>
      </c>
      <c r="H189" s="53"/>
      <c r="I189" s="63">
        <f>IF(J189&lt;&gt;"","S"&amp;TEXT(WEEKNUM(J189),"00"),"")</f>
      </c>
      <c r="J189" s="42">
        <f>IF(AND(E189=Data!#REF!,Data!#REF!&lt;&gt;""),Data!#REF!,"")</f>
        <v>25569.041666666668</v>
      </c>
      <c r="K189" s="67">
        <f>IF(AND(E189=Data!#REF!,Data!#REF!&lt;&gt;""),Data!#REF!,"")</f>
        <v>25569.041666666668</v>
      </c>
      <c r="L189" s="68">
        <f>IF(E189=Data!#REF!,Data!#REF!,"")</f>
      </c>
      <c r="M189" s="68">
        <f>IF(E189=Data!#REF!,Data!#REF!,"")</f>
      </c>
      <c r="N189" s="69">
        <f>IF(AND(Data!#REF!&lt;&gt;"",Data!#REF!="Accept&amp;#233;"),Data!#REF!,"")</f>
      </c>
    </row>
    <row x14ac:dyDescent="0.25" r="190" customHeight="1" ht="19.5" hidden="1">
      <c r="A190" s="62">
        <f>IF(AND(Data!#REF!&lt;&gt;"",Data!#REF!="Accept&amp;#233;"),Data!#REF!,"")</f>
      </c>
      <c r="B190" s="62">
        <f>IF(AND(Data!#REF!&lt;&gt;"",Data!#REF!="Accept&amp;#233;"),Data!#REF!,"")</f>
      </c>
      <c r="C190" s="63">
        <f>IF(D190&lt;&gt;"","S"&amp;TEXT(WEEKNUM(D190),"00"),"")</f>
      </c>
      <c r="D190" s="42">
        <f>IF(AND(Data!#REF!&lt;&gt;"",Data!#REF!="Accept&amp;#233;"),Data!#REF!,"")</f>
        <v>25569.041666666668</v>
      </c>
      <c r="E190" s="64">
        <f>IF(AND(Data!#REF!&lt;&gt;"",Data!#REF!="Accept&amp;#233;"),Data!#REF!,"")</f>
      </c>
      <c r="F190" s="65">
        <f>IF(AND(Data!#REF!&lt;&gt;"",Data!#REF!="Accept&amp;#233;"),Data!#REF!,"")</f>
      </c>
      <c r="G190" s="66">
        <f>IF(Data!#REF!='Delivery Plan'!E190,Data!#REF!,"")</f>
      </c>
      <c r="H190" s="53"/>
      <c r="I190" s="63">
        <f>IF(J190&lt;&gt;"","S"&amp;TEXT(WEEKNUM(J190),"00"),"")</f>
      </c>
      <c r="J190" s="42">
        <f>IF(AND(E190=Data!#REF!,Data!#REF!&lt;&gt;""),Data!#REF!,"")</f>
        <v>25569.041666666668</v>
      </c>
      <c r="K190" s="67">
        <f>IF(AND(E190=Data!#REF!,Data!#REF!&lt;&gt;""),Data!#REF!,"")</f>
        <v>25569.041666666668</v>
      </c>
      <c r="L190" s="68">
        <f>IF(E190=Data!#REF!,Data!#REF!,"")</f>
      </c>
      <c r="M190" s="68">
        <f>IF(E190=Data!#REF!,Data!#REF!,"")</f>
      </c>
      <c r="N190" s="69">
        <f>IF(AND(Data!#REF!&lt;&gt;"",Data!#REF!="Accept&amp;#233;"),Data!#REF!,"")</f>
      </c>
    </row>
    <row x14ac:dyDescent="0.25" r="191" customHeight="1" ht="19.5" hidden="1">
      <c r="A191" s="62">
        <f>IF(AND(Data!#REF!&lt;&gt;"",Data!#REF!="Accept&amp;#233;"),Data!#REF!,"")</f>
      </c>
      <c r="B191" s="62">
        <f>IF(AND(Data!#REF!&lt;&gt;"",Data!#REF!="Accept&amp;#233;"),Data!#REF!,"")</f>
      </c>
      <c r="C191" s="63">
        <f>IF(D191&lt;&gt;"","S"&amp;TEXT(WEEKNUM(D191),"00"),"")</f>
      </c>
      <c r="D191" s="42">
        <f>IF(AND(Data!#REF!&lt;&gt;"",Data!#REF!="Accept&amp;#233;"),Data!#REF!,"")</f>
        <v>25569.041666666668</v>
      </c>
      <c r="E191" s="64">
        <f>IF(AND(Data!#REF!&lt;&gt;"",Data!#REF!="Accept&amp;#233;"),Data!#REF!,"")</f>
      </c>
      <c r="F191" s="65">
        <f>IF(AND(Data!#REF!&lt;&gt;"",Data!#REF!="Accept&amp;#233;"),Data!#REF!,"")</f>
      </c>
      <c r="G191" s="66">
        <f>IF(Data!#REF!='Delivery Plan'!E191,Data!#REF!,"")</f>
      </c>
      <c r="H191" s="53"/>
      <c r="I191" s="63">
        <f>IF(J191&lt;&gt;"","S"&amp;TEXT(WEEKNUM(J191),"00"),"")</f>
      </c>
      <c r="J191" s="42">
        <f>IF(AND(E191=Data!#REF!,Data!#REF!&lt;&gt;""),Data!#REF!,"")</f>
        <v>25569.041666666668</v>
      </c>
      <c r="K191" s="67">
        <f>IF(AND(E191=Data!#REF!,Data!#REF!&lt;&gt;""),Data!#REF!,"")</f>
        <v>25569.041666666668</v>
      </c>
      <c r="L191" s="68">
        <f>IF(E191=Data!#REF!,Data!#REF!,"")</f>
      </c>
      <c r="M191" s="68">
        <f>IF(E191=Data!#REF!,Data!#REF!,"")</f>
      </c>
      <c r="N191" s="69">
        <f>IF(AND(Data!#REF!&lt;&gt;"",Data!#REF!="Accept&amp;#233;"),Data!#REF!,"")</f>
      </c>
    </row>
    <row x14ac:dyDescent="0.25" r="192" customHeight="1" ht="19.5" hidden="1">
      <c r="A192" s="62">
        <f>IF(AND(Data!#REF!&lt;&gt;"",Data!#REF!="Accept&amp;#233;"),Data!#REF!,"")</f>
      </c>
      <c r="B192" s="62">
        <f>IF(AND(Data!#REF!&lt;&gt;"",Data!#REF!="Accept&amp;#233;"),Data!#REF!,"")</f>
      </c>
      <c r="C192" s="63">
        <f>IF(D192&lt;&gt;"","S"&amp;TEXT(WEEKNUM(D192),"00"),"")</f>
      </c>
      <c r="D192" s="42">
        <f>IF(AND(Data!#REF!&lt;&gt;"",Data!#REF!="Accept&amp;#233;"),Data!#REF!,"")</f>
        <v>25569.041666666668</v>
      </c>
      <c r="E192" s="64">
        <f>IF(AND(Data!#REF!&lt;&gt;"",Data!#REF!="Accept&amp;#233;"),Data!#REF!,"")</f>
      </c>
      <c r="F192" s="65">
        <f>IF(AND(Data!#REF!&lt;&gt;"",Data!#REF!="Accept&amp;#233;"),Data!#REF!,"")</f>
      </c>
      <c r="G192" s="66">
        <f>IF(Data!#REF!='Delivery Plan'!E192,Data!#REF!,"")</f>
      </c>
      <c r="H192" s="53"/>
      <c r="I192" s="63">
        <f>IF(J192&lt;&gt;"","S"&amp;TEXT(WEEKNUM(J192),"00"),"")</f>
      </c>
      <c r="J192" s="42">
        <f>IF(AND(E192=Data!#REF!,Data!#REF!&lt;&gt;""),Data!#REF!,"")</f>
        <v>25569.041666666668</v>
      </c>
      <c r="K192" s="67">
        <f>IF(AND(E192=Data!#REF!,Data!#REF!&lt;&gt;""),Data!#REF!,"")</f>
        <v>25569.041666666668</v>
      </c>
      <c r="L192" s="68">
        <f>IF(E192=Data!#REF!,Data!#REF!,"")</f>
      </c>
      <c r="M192" s="68">
        <f>IF(E192=Data!#REF!,Data!#REF!,"")</f>
      </c>
      <c r="N192" s="69">
        <f>IF(AND(Data!#REF!&lt;&gt;"",Data!#REF!="Accept&amp;#233;"),Data!#REF!,"")</f>
      </c>
    </row>
    <row x14ac:dyDescent="0.25" r="193" customHeight="1" ht="19.5" hidden="1">
      <c r="A193" s="62">
        <f>IF(AND(Data!#REF!&lt;&gt;"",Data!#REF!="Accept&amp;#233;"),Data!#REF!,"")</f>
      </c>
      <c r="B193" s="62">
        <f>IF(AND(Data!#REF!&lt;&gt;"",Data!#REF!="Accept&amp;#233;"),Data!#REF!,"")</f>
      </c>
      <c r="C193" s="63">
        <f>IF(D193&lt;&gt;"","S"&amp;TEXT(WEEKNUM(D193),"00"),"")</f>
      </c>
      <c r="D193" s="42">
        <f>IF(AND(Data!#REF!&lt;&gt;"",Data!#REF!="Accept&amp;#233;"),Data!#REF!,"")</f>
        <v>25569.041666666668</v>
      </c>
      <c r="E193" s="64">
        <f>IF(AND(Data!#REF!&lt;&gt;"",Data!#REF!="Accept&amp;#233;"),Data!#REF!,"")</f>
      </c>
      <c r="F193" s="65">
        <f>IF(AND(Data!#REF!&lt;&gt;"",Data!#REF!="Accept&amp;#233;"),Data!#REF!,"")</f>
      </c>
      <c r="G193" s="66">
        <f>IF(Data!#REF!='Delivery Plan'!E193,Data!#REF!,"")</f>
      </c>
      <c r="H193" s="53"/>
      <c r="I193" s="63">
        <f>IF(J193&lt;&gt;"","S"&amp;TEXT(WEEKNUM(J193),"00"),"")</f>
      </c>
      <c r="J193" s="42">
        <f>IF(AND(E193=Data!#REF!,Data!#REF!&lt;&gt;""),Data!#REF!,"")</f>
        <v>25569.041666666668</v>
      </c>
      <c r="K193" s="67">
        <f>IF(AND(E193=Data!#REF!,Data!#REF!&lt;&gt;""),Data!#REF!,"")</f>
        <v>25569.041666666668</v>
      </c>
      <c r="L193" s="68">
        <f>IF(E193=Data!#REF!,Data!#REF!,"")</f>
      </c>
      <c r="M193" s="68">
        <f>IF(E193=Data!#REF!,Data!#REF!,"")</f>
      </c>
      <c r="N193" s="69">
        <f>IF(AND(Data!#REF!&lt;&gt;"",Data!#REF!="Accept&amp;#233;"),Data!#REF!,"")</f>
      </c>
    </row>
    <row x14ac:dyDescent="0.25" r="194" customHeight="1" ht="19.5" hidden="1">
      <c r="A194" s="62">
        <f>IF(AND(Data!#REF!&lt;&gt;"",Data!#REF!="Accept&amp;#233;"),Data!#REF!,"")</f>
      </c>
      <c r="B194" s="62">
        <f>IF(AND(Data!#REF!&lt;&gt;"",Data!#REF!="Accept&amp;#233;"),Data!#REF!,"")</f>
      </c>
      <c r="C194" s="63">
        <f>IF(D194&lt;&gt;"","S"&amp;TEXT(WEEKNUM(D194),"00"),"")</f>
      </c>
      <c r="D194" s="42">
        <f>IF(AND(Data!#REF!&lt;&gt;"",Data!#REF!="Accept&amp;#233;"),Data!#REF!,"")</f>
        <v>25569.041666666668</v>
      </c>
      <c r="E194" s="64">
        <f>IF(AND(Data!#REF!&lt;&gt;"",Data!#REF!="Accept&amp;#233;"),Data!#REF!,"")</f>
      </c>
      <c r="F194" s="65">
        <f>IF(AND(Data!#REF!&lt;&gt;"",Data!#REF!="Accept&amp;#233;"),Data!#REF!,"")</f>
      </c>
      <c r="G194" s="66">
        <f>IF(Data!#REF!='Delivery Plan'!E194,Data!#REF!,"")</f>
      </c>
      <c r="H194" s="53"/>
      <c r="I194" s="63">
        <f>IF(J194&lt;&gt;"","S"&amp;TEXT(WEEKNUM(J194),"00"),"")</f>
      </c>
      <c r="J194" s="42">
        <f>IF(AND(E194=Data!#REF!,Data!#REF!&lt;&gt;""),Data!#REF!,"")</f>
        <v>25569.041666666668</v>
      </c>
      <c r="K194" s="67">
        <f>IF(AND(E194=Data!#REF!,Data!#REF!&lt;&gt;""),Data!#REF!,"")</f>
        <v>25569.041666666668</v>
      </c>
      <c r="L194" s="68">
        <f>IF(E194=Data!#REF!,Data!#REF!,"")</f>
      </c>
      <c r="M194" s="68">
        <f>IF(E194=Data!#REF!,Data!#REF!,"")</f>
      </c>
      <c r="N194" s="69">
        <f>IF(AND(Data!#REF!&lt;&gt;"",Data!#REF!="Accept&amp;#233;"),Data!#REF!,"")</f>
      </c>
    </row>
    <row x14ac:dyDescent="0.25" r="195" customHeight="1" ht="19.5" hidden="1">
      <c r="A195" s="62">
        <f>IF(AND(Data!#REF!&lt;&gt;"",Data!#REF!="Accept&amp;#233;"),Data!#REF!,"")</f>
      </c>
      <c r="B195" s="62">
        <f>IF(AND(Data!#REF!&lt;&gt;"",Data!#REF!="Accept&amp;#233;"),Data!#REF!,"")</f>
      </c>
      <c r="C195" s="63">
        <f>IF(D195&lt;&gt;"","S"&amp;TEXT(WEEKNUM(D195),"00"),"")</f>
      </c>
      <c r="D195" s="42">
        <f>IF(AND(Data!#REF!&lt;&gt;"",Data!#REF!="Accept&amp;#233;"),Data!#REF!,"")</f>
        <v>25569.041666666668</v>
      </c>
      <c r="E195" s="64">
        <f>IF(AND(Data!#REF!&lt;&gt;"",Data!#REF!="Accept&amp;#233;"),Data!#REF!,"")</f>
      </c>
      <c r="F195" s="65">
        <f>IF(AND(Data!#REF!&lt;&gt;"",Data!#REF!="Accept&amp;#233;"),Data!#REF!,"")</f>
      </c>
      <c r="G195" s="66">
        <f>IF(Data!#REF!='Delivery Plan'!E195,Data!#REF!,"")</f>
      </c>
      <c r="H195" s="53"/>
      <c r="I195" s="63">
        <f>IF(J195&lt;&gt;"","S"&amp;TEXT(WEEKNUM(J195),"00"),"")</f>
      </c>
      <c r="J195" s="42">
        <f>IF(AND(E195=Data!#REF!,Data!#REF!&lt;&gt;""),Data!#REF!,"")</f>
        <v>25569.041666666668</v>
      </c>
      <c r="K195" s="67">
        <f>IF(AND(E195=Data!#REF!,Data!#REF!&lt;&gt;""),Data!#REF!,"")</f>
        <v>25569.041666666668</v>
      </c>
      <c r="L195" s="68">
        <f>IF(E195=Data!#REF!,Data!#REF!,"")</f>
      </c>
      <c r="M195" s="68">
        <f>IF(E195=Data!#REF!,Data!#REF!,"")</f>
      </c>
      <c r="N195" s="69">
        <f>IF(AND(Data!#REF!&lt;&gt;"",Data!#REF!="Accept&amp;#233;"),Data!#REF!,"")</f>
      </c>
    </row>
    <row x14ac:dyDescent="0.25" r="196" customHeight="1" ht="19.5" hidden="1">
      <c r="A196" s="62">
        <f>IF(AND(Data!#REF!&lt;&gt;"",Data!#REF!="Accept&amp;#233;"),Data!#REF!,"")</f>
      </c>
      <c r="B196" s="62">
        <f>IF(AND(Data!#REF!&lt;&gt;"",Data!#REF!="Accept&amp;#233;"),Data!#REF!,"")</f>
      </c>
      <c r="C196" s="63">
        <f>IF(D196&lt;&gt;"","S"&amp;TEXT(WEEKNUM(D196),"00"),"")</f>
      </c>
      <c r="D196" s="42">
        <f>IF(AND(Data!#REF!&lt;&gt;"",Data!#REF!="Accept&amp;#233;"),Data!#REF!,"")</f>
        <v>25569.041666666668</v>
      </c>
      <c r="E196" s="64">
        <f>IF(AND(Data!#REF!&lt;&gt;"",Data!#REF!="Accept&amp;#233;"),Data!#REF!,"")</f>
      </c>
      <c r="F196" s="65">
        <f>IF(AND(Data!#REF!&lt;&gt;"",Data!#REF!="Accept&amp;#233;"),Data!#REF!,"")</f>
      </c>
      <c r="G196" s="66">
        <f>IF(Data!#REF!='Delivery Plan'!E196,Data!#REF!,"")</f>
      </c>
      <c r="H196" s="53"/>
      <c r="I196" s="63">
        <f>IF(J196&lt;&gt;"","S"&amp;TEXT(WEEKNUM(J196),"00"),"")</f>
      </c>
      <c r="J196" s="42">
        <f>IF(AND(E196=Data!#REF!,Data!#REF!&lt;&gt;""),Data!#REF!,"")</f>
        <v>25569.041666666668</v>
      </c>
      <c r="K196" s="67">
        <f>IF(AND(E196=Data!#REF!,Data!#REF!&lt;&gt;""),Data!#REF!,"")</f>
        <v>25569.041666666668</v>
      </c>
      <c r="L196" s="68">
        <f>IF(E196=Data!#REF!,Data!#REF!,"")</f>
      </c>
      <c r="M196" s="68">
        <f>IF(E196=Data!#REF!,Data!#REF!,"")</f>
      </c>
      <c r="N196" s="69">
        <f>IF(AND(Data!#REF!&lt;&gt;"",Data!#REF!="Accept&amp;#233;"),Data!#REF!,"")</f>
      </c>
    </row>
    <row x14ac:dyDescent="0.25" r="197" customHeight="1" ht="19.5" hidden="1">
      <c r="A197" s="62">
        <f>IF(AND(Data!#REF!&lt;&gt;"",Data!#REF!="Accept&amp;#233;"),Data!#REF!,"")</f>
      </c>
      <c r="B197" s="62">
        <f>IF(AND(Data!#REF!&lt;&gt;"",Data!#REF!="Accept&amp;#233;"),Data!#REF!,"")</f>
      </c>
      <c r="C197" s="63">
        <f>IF(D197&lt;&gt;"","S"&amp;TEXT(WEEKNUM(D197),"00"),"")</f>
      </c>
      <c r="D197" s="42">
        <f>IF(AND(Data!#REF!&lt;&gt;"",Data!#REF!="Accept&amp;#233;"),Data!#REF!,"")</f>
        <v>25569.041666666668</v>
      </c>
      <c r="E197" s="64">
        <f>IF(AND(Data!#REF!&lt;&gt;"",Data!#REF!="Accept&amp;#233;"),Data!#REF!,"")</f>
      </c>
      <c r="F197" s="65">
        <f>IF(AND(Data!#REF!&lt;&gt;"",Data!#REF!="Accept&amp;#233;"),Data!#REF!,"")</f>
      </c>
      <c r="G197" s="66">
        <f>IF(Data!#REF!='Delivery Plan'!E197,Data!#REF!,"")</f>
      </c>
      <c r="H197" s="53"/>
      <c r="I197" s="63">
        <f>IF(J197&lt;&gt;"","S"&amp;TEXT(WEEKNUM(J197),"00"),"")</f>
      </c>
      <c r="J197" s="42">
        <f>IF(AND(E197=Data!#REF!,Data!#REF!&lt;&gt;""),Data!#REF!,"")</f>
        <v>25569.041666666668</v>
      </c>
      <c r="K197" s="67">
        <f>IF(AND(E197=Data!#REF!,Data!#REF!&lt;&gt;""),Data!#REF!,"")</f>
        <v>25569.041666666668</v>
      </c>
      <c r="L197" s="68">
        <f>IF(E197=Data!#REF!,Data!#REF!,"")</f>
      </c>
      <c r="M197" s="68">
        <f>IF(E197=Data!#REF!,Data!#REF!,"")</f>
      </c>
      <c r="N197" s="69">
        <f>IF(AND(Data!#REF!&lt;&gt;"",Data!#REF!="Accept&amp;#233;"),Data!#REF!,"")</f>
      </c>
    </row>
    <row x14ac:dyDescent="0.25" r="198" customHeight="1" ht="19.5" hidden="1">
      <c r="A198" s="62">
        <f>IF(AND(Data!#REF!&lt;&gt;"",Data!#REF!="Accept&amp;#233;"),Data!#REF!,"")</f>
      </c>
      <c r="B198" s="62">
        <f>IF(AND(Data!#REF!&lt;&gt;"",Data!#REF!="Accept&amp;#233;"),Data!#REF!,"")</f>
      </c>
      <c r="C198" s="63">
        <f>IF(D198&lt;&gt;"","S"&amp;TEXT(WEEKNUM(D198),"00"),"")</f>
      </c>
      <c r="D198" s="42">
        <f>IF(AND(Data!#REF!&lt;&gt;"",Data!#REF!="Accept&amp;#233;"),Data!#REF!,"")</f>
        <v>25569.041666666668</v>
      </c>
      <c r="E198" s="64">
        <f>IF(AND(Data!#REF!&lt;&gt;"",Data!#REF!="Accept&amp;#233;"),Data!#REF!,"")</f>
      </c>
      <c r="F198" s="65">
        <f>IF(AND(Data!#REF!&lt;&gt;"",Data!#REF!="Accept&amp;#233;"),Data!#REF!,"")</f>
      </c>
      <c r="G198" s="66">
        <f>IF(Data!#REF!='Delivery Plan'!E198,Data!#REF!,"")</f>
      </c>
      <c r="H198" s="53"/>
      <c r="I198" s="63">
        <f>IF(J198&lt;&gt;"","S"&amp;TEXT(WEEKNUM(J198),"00"),"")</f>
      </c>
      <c r="J198" s="42">
        <f>IF(AND(E198=Data!#REF!,Data!#REF!&lt;&gt;""),Data!#REF!,"")</f>
        <v>25569.041666666668</v>
      </c>
      <c r="K198" s="67">
        <f>IF(AND(E198=Data!#REF!,Data!#REF!&lt;&gt;""),Data!#REF!,"")</f>
        <v>25569.041666666668</v>
      </c>
      <c r="L198" s="68">
        <f>IF(E198=Data!#REF!,Data!#REF!,"")</f>
      </c>
      <c r="M198" s="68">
        <f>IF(E198=Data!#REF!,Data!#REF!,"")</f>
      </c>
      <c r="N198" s="69">
        <f>IF(AND(Data!#REF!&lt;&gt;"",Data!#REF!="Accept&amp;#233;"),Data!#REF!,"")</f>
      </c>
    </row>
    <row x14ac:dyDescent="0.25" r="199" customHeight="1" ht="19.5" hidden="1">
      <c r="A199" s="62">
        <f>IF(AND(Data!#REF!&lt;&gt;"",Data!#REF!="Accept&amp;#233;"),Data!#REF!,"")</f>
      </c>
      <c r="B199" s="62">
        <f>IF(AND(Data!#REF!&lt;&gt;"",Data!#REF!="Accept&amp;#233;"),Data!#REF!,"")</f>
      </c>
      <c r="C199" s="63">
        <f>IF(D199&lt;&gt;"","S"&amp;TEXT(WEEKNUM(D199),"00"),"")</f>
      </c>
      <c r="D199" s="42">
        <f>IF(AND(Data!#REF!&lt;&gt;"",Data!#REF!="Accept&amp;#233;"),Data!#REF!,"")</f>
        <v>25569.041666666668</v>
      </c>
      <c r="E199" s="64">
        <f>IF(AND(Data!#REF!&lt;&gt;"",Data!#REF!="Accept&amp;#233;"),Data!#REF!,"")</f>
      </c>
      <c r="F199" s="65">
        <f>IF(AND(Data!#REF!&lt;&gt;"",Data!#REF!="Accept&amp;#233;"),Data!#REF!,"")</f>
      </c>
      <c r="G199" s="66">
        <f>IF(Data!#REF!='Delivery Plan'!E199,Data!#REF!,"")</f>
      </c>
      <c r="H199" s="53"/>
      <c r="I199" s="63">
        <f>IF(J199&lt;&gt;"","S"&amp;TEXT(WEEKNUM(J199),"00"),"")</f>
      </c>
      <c r="J199" s="42">
        <f>IF(AND(E199=Data!#REF!,Data!#REF!&lt;&gt;""),Data!#REF!,"")</f>
        <v>25569.041666666668</v>
      </c>
      <c r="K199" s="67">
        <f>IF(AND(E199=Data!#REF!,Data!#REF!&lt;&gt;""),Data!#REF!,"")</f>
        <v>25569.041666666668</v>
      </c>
      <c r="L199" s="68">
        <f>IF(E199=Data!#REF!,Data!#REF!,"")</f>
      </c>
      <c r="M199" s="68">
        <f>IF(E199=Data!#REF!,Data!#REF!,"")</f>
      </c>
      <c r="N199" s="69">
        <f>IF(AND(Data!#REF!&lt;&gt;"",Data!#REF!="Accept&amp;#233;"),Data!#REF!,"")</f>
      </c>
    </row>
    <row x14ac:dyDescent="0.25" r="200" customHeight="1" ht="19.5" hidden="1">
      <c r="A200" s="62">
        <f>IF(AND(Data!#REF!&lt;&gt;"",Data!#REF!="Accept&amp;#233;"),Data!#REF!,"")</f>
      </c>
      <c r="B200" s="62">
        <f>IF(AND(Data!#REF!&lt;&gt;"",Data!#REF!="Accept&amp;#233;"),Data!#REF!,"")</f>
      </c>
      <c r="C200" s="63">
        <f>IF(D200&lt;&gt;"","S"&amp;TEXT(WEEKNUM(D200),"00"),"")</f>
      </c>
      <c r="D200" s="42">
        <f>IF(AND(Data!#REF!&lt;&gt;"",Data!#REF!="Accept&amp;#233;"),Data!#REF!,"")</f>
        <v>25569.041666666668</v>
      </c>
      <c r="E200" s="64">
        <f>IF(AND(Data!#REF!&lt;&gt;"",Data!#REF!="Accept&amp;#233;"),Data!#REF!,"")</f>
      </c>
      <c r="F200" s="65">
        <f>IF(AND(Data!#REF!&lt;&gt;"",Data!#REF!="Accept&amp;#233;"),Data!#REF!,"")</f>
      </c>
      <c r="G200" s="66">
        <f>IF(Data!#REF!='Delivery Plan'!E200,Data!#REF!,"")</f>
      </c>
      <c r="H200" s="53"/>
      <c r="I200" s="63">
        <f>IF(J200&lt;&gt;"","S"&amp;TEXT(WEEKNUM(J200),"00"),"")</f>
      </c>
      <c r="J200" s="42">
        <f>IF(AND(E200=Data!#REF!,Data!#REF!&lt;&gt;""),Data!#REF!,"")</f>
        <v>25569.041666666668</v>
      </c>
      <c r="K200" s="67">
        <f>IF(AND(E200=Data!#REF!,Data!#REF!&lt;&gt;""),Data!#REF!,"")</f>
        <v>25569.041666666668</v>
      </c>
      <c r="L200" s="68">
        <f>IF(E200=Data!#REF!,Data!#REF!,"")</f>
      </c>
      <c r="M200" s="68">
        <f>IF(E200=Data!#REF!,Data!#REF!,"")</f>
      </c>
      <c r="N200" s="69">
        <f>IF(AND(Data!#REF!&lt;&gt;"",Data!#REF!="Accept&amp;#233;"),Data!#REF!,"")</f>
      </c>
    </row>
    <row x14ac:dyDescent="0.25" r="201" customHeight="1" ht="19.5" hidden="1">
      <c r="A201" s="62">
        <f>IF(AND(Data!#REF!&lt;&gt;"",Data!#REF!="Accept&amp;#233;"),Data!#REF!,"")</f>
      </c>
      <c r="B201" s="62">
        <f>IF(AND(Data!#REF!&lt;&gt;"",Data!#REF!="Accept&amp;#233;"),Data!#REF!,"")</f>
      </c>
      <c r="C201" s="63">
        <f>IF(D201&lt;&gt;"","S"&amp;TEXT(WEEKNUM(D201),"00"),"")</f>
      </c>
      <c r="D201" s="42">
        <f>IF(AND(Data!#REF!&lt;&gt;"",Data!#REF!="Accept&amp;#233;"),Data!#REF!,"")</f>
        <v>25569.041666666668</v>
      </c>
      <c r="E201" s="64">
        <f>IF(AND(Data!#REF!&lt;&gt;"",Data!#REF!="Accept&amp;#233;"),Data!#REF!,"")</f>
      </c>
      <c r="F201" s="65">
        <f>IF(AND(Data!#REF!&lt;&gt;"",Data!#REF!="Accept&amp;#233;"),Data!#REF!,"")</f>
      </c>
      <c r="G201" s="66">
        <f>IF(Data!#REF!='Delivery Plan'!E201,Data!#REF!,"")</f>
      </c>
      <c r="H201" s="53"/>
      <c r="I201" s="63">
        <f>IF(J201&lt;&gt;"","S"&amp;TEXT(WEEKNUM(J201),"00"),"")</f>
      </c>
      <c r="J201" s="42">
        <f>IF(AND(E201=Data!#REF!,Data!#REF!&lt;&gt;""),Data!#REF!,"")</f>
        <v>25569.041666666668</v>
      </c>
      <c r="K201" s="67">
        <f>IF(AND(E201=Data!#REF!,Data!#REF!&lt;&gt;""),Data!#REF!,"")</f>
        <v>25569.041666666668</v>
      </c>
      <c r="L201" s="68">
        <f>IF(E201=Data!#REF!,Data!#REF!,"")</f>
      </c>
      <c r="M201" s="68">
        <f>IF(E201=Data!#REF!,Data!#REF!,"")</f>
      </c>
      <c r="N201" s="69">
        <f>IF(AND(Data!#REF!&lt;&gt;"",Data!#REF!="Accept&amp;#233;"),Data!#REF!,"")</f>
      </c>
    </row>
    <row x14ac:dyDescent="0.25" r="202" customHeight="1" ht="19.5" hidden="1">
      <c r="A202" s="62">
        <f>IF(AND(Data!#REF!&lt;&gt;"",Data!#REF!="Accept&amp;#233;"),Data!#REF!,"")</f>
      </c>
      <c r="B202" s="62">
        <f>IF(AND(Data!#REF!&lt;&gt;"",Data!#REF!="Accept&amp;#233;"),Data!#REF!,"")</f>
      </c>
      <c r="C202" s="63">
        <f>IF(D202&lt;&gt;"","S"&amp;TEXT(WEEKNUM(D202),"00"),"")</f>
      </c>
      <c r="D202" s="42">
        <f>IF(AND(Data!#REF!&lt;&gt;"",Data!#REF!="Accept&amp;#233;"),Data!#REF!,"")</f>
        <v>25569.041666666668</v>
      </c>
      <c r="E202" s="64">
        <f>IF(AND(Data!#REF!&lt;&gt;"",Data!#REF!="Accept&amp;#233;"),Data!#REF!,"")</f>
      </c>
      <c r="F202" s="65">
        <f>IF(AND(Data!#REF!&lt;&gt;"",Data!#REF!="Accept&amp;#233;"),Data!#REF!,"")</f>
      </c>
      <c r="G202" s="66">
        <f>IF(Data!#REF!='Delivery Plan'!E202,Data!#REF!,"")</f>
      </c>
      <c r="H202" s="53"/>
      <c r="I202" s="63">
        <f>IF(J202&lt;&gt;"","S"&amp;TEXT(WEEKNUM(J202),"00"),"")</f>
      </c>
      <c r="J202" s="42">
        <f>IF(AND(E202=Data!#REF!,Data!#REF!&lt;&gt;""),Data!#REF!,"")</f>
        <v>25569.041666666668</v>
      </c>
      <c r="K202" s="67">
        <f>IF(AND(E202=Data!#REF!,Data!#REF!&lt;&gt;""),Data!#REF!,"")</f>
        <v>25569.041666666668</v>
      </c>
      <c r="L202" s="68">
        <f>IF(E202=Data!#REF!,Data!#REF!,"")</f>
      </c>
      <c r="M202" s="68">
        <f>IF(E202=Data!#REF!,Data!#REF!,"")</f>
      </c>
      <c r="N202" s="69">
        <f>IF(AND(Data!#REF!&lt;&gt;"",Data!#REF!="Accept&amp;#233;"),Data!#REF!,"")</f>
      </c>
    </row>
    <row x14ac:dyDescent="0.25" r="203" customHeight="1" ht="19.5" hidden="1">
      <c r="A203" s="62">
        <f>IF(AND(Data!#REF!&lt;&gt;"",Data!#REF!="Accept&amp;#233;"),Data!#REF!,"")</f>
      </c>
      <c r="B203" s="62">
        <f>IF(AND(Data!#REF!&lt;&gt;"",Data!#REF!="Accept&amp;#233;"),Data!#REF!,"")</f>
      </c>
      <c r="C203" s="63">
        <f>IF(D203&lt;&gt;"","S"&amp;TEXT(WEEKNUM(D203),"00"),"")</f>
      </c>
      <c r="D203" s="42">
        <f>IF(AND(Data!#REF!&lt;&gt;"",Data!#REF!="Accept&amp;#233;"),Data!#REF!,"")</f>
        <v>25569.041666666668</v>
      </c>
      <c r="E203" s="64">
        <f>IF(AND(Data!#REF!&lt;&gt;"",Data!#REF!="Accept&amp;#233;"),Data!#REF!,"")</f>
      </c>
      <c r="F203" s="65">
        <f>IF(AND(Data!#REF!&lt;&gt;"",Data!#REF!="Accept&amp;#233;"),Data!#REF!,"")</f>
      </c>
      <c r="G203" s="66">
        <f>IF(Data!#REF!='Delivery Plan'!E203,Data!#REF!,"")</f>
      </c>
      <c r="H203" s="53"/>
      <c r="I203" s="63">
        <f>IF(J203&lt;&gt;"","S"&amp;TEXT(WEEKNUM(J203),"00"),"")</f>
      </c>
      <c r="J203" s="42">
        <f>IF(AND(E203=Data!#REF!,Data!#REF!&lt;&gt;""),Data!#REF!,"")</f>
        <v>25569.041666666668</v>
      </c>
      <c r="K203" s="67">
        <f>IF(AND(E203=Data!#REF!,Data!#REF!&lt;&gt;""),Data!#REF!,"")</f>
        <v>25569.041666666668</v>
      </c>
      <c r="L203" s="68">
        <f>IF(E203=Data!#REF!,Data!#REF!,"")</f>
      </c>
      <c r="M203" s="68">
        <f>IF(E203=Data!#REF!,Data!#REF!,"")</f>
      </c>
      <c r="N203" s="69">
        <f>IF(AND(Data!#REF!&lt;&gt;"",Data!#REF!="Accept&amp;#233;"),Data!#REF!,"")</f>
      </c>
    </row>
    <row x14ac:dyDescent="0.25" r="204" customHeight="1" ht="19.5" hidden="1">
      <c r="A204" s="62">
        <f>IF(AND(Data!#REF!&lt;&gt;"",Data!#REF!="Accept&amp;#233;"),Data!#REF!,"")</f>
      </c>
      <c r="B204" s="62">
        <f>IF(AND(Data!#REF!&lt;&gt;"",Data!#REF!="Accept&amp;#233;"),Data!#REF!,"")</f>
      </c>
      <c r="C204" s="63">
        <f>IF(D204&lt;&gt;"","S"&amp;TEXT(WEEKNUM(D204),"00"),"")</f>
      </c>
      <c r="D204" s="42">
        <f>IF(AND(Data!#REF!&lt;&gt;"",Data!#REF!="Accept&amp;#233;"),Data!#REF!,"")</f>
        <v>25569.041666666668</v>
      </c>
      <c r="E204" s="64">
        <f>IF(AND(Data!#REF!&lt;&gt;"",Data!#REF!="Accept&amp;#233;"),Data!#REF!,"")</f>
      </c>
      <c r="F204" s="65">
        <f>IF(AND(Data!#REF!&lt;&gt;"",Data!#REF!="Accept&amp;#233;"),Data!#REF!,"")</f>
      </c>
      <c r="G204" s="66">
        <f>IF(Data!#REF!='Delivery Plan'!E204,Data!#REF!,"")</f>
      </c>
      <c r="H204" s="53"/>
      <c r="I204" s="63">
        <f>IF(J204&lt;&gt;"","S"&amp;TEXT(WEEKNUM(J204),"00"),"")</f>
      </c>
      <c r="J204" s="42">
        <f>IF(AND(E204=Data!#REF!,Data!#REF!&lt;&gt;""),Data!#REF!,"")</f>
        <v>25569.041666666668</v>
      </c>
      <c r="K204" s="67">
        <f>IF(AND(E204=Data!#REF!,Data!#REF!&lt;&gt;""),Data!#REF!,"")</f>
        <v>25569.041666666668</v>
      </c>
      <c r="L204" s="68">
        <f>IF(E204=Data!#REF!,Data!#REF!,"")</f>
      </c>
      <c r="M204" s="68">
        <f>IF(E204=Data!#REF!,Data!#REF!,"")</f>
      </c>
      <c r="N204" s="69">
        <f>IF(AND(Data!#REF!&lt;&gt;"",Data!#REF!="Accept&amp;#233;"),Data!#REF!,"")</f>
      </c>
    </row>
    <row x14ac:dyDescent="0.25" r="205" customHeight="1" ht="19.5" hidden="1">
      <c r="A205" s="62">
        <f>IF(AND(Data!#REF!&lt;&gt;"",Data!#REF!="Accept&amp;#233;"),Data!#REF!,"")</f>
      </c>
      <c r="B205" s="62">
        <f>IF(AND(Data!#REF!&lt;&gt;"",Data!#REF!="Accept&amp;#233;"),Data!#REF!,"")</f>
      </c>
      <c r="C205" s="63">
        <f>IF(D205&lt;&gt;"","S"&amp;TEXT(WEEKNUM(D205),"00"),"")</f>
      </c>
      <c r="D205" s="42">
        <f>IF(AND(Data!#REF!&lt;&gt;"",Data!#REF!="Accept&amp;#233;"),Data!#REF!,"")</f>
        <v>25569.041666666668</v>
      </c>
      <c r="E205" s="64">
        <f>IF(AND(Data!#REF!&lt;&gt;"",Data!#REF!="Accept&amp;#233;"),Data!#REF!,"")</f>
      </c>
      <c r="F205" s="65">
        <f>IF(AND(Data!#REF!&lt;&gt;"",Data!#REF!="Accept&amp;#233;"),Data!#REF!,"")</f>
      </c>
      <c r="G205" s="66">
        <f>IF(Data!#REF!='Delivery Plan'!E205,Data!#REF!,"")</f>
      </c>
      <c r="H205" s="53"/>
      <c r="I205" s="63">
        <f>IF(J205&lt;&gt;"","S"&amp;TEXT(WEEKNUM(J205),"00"),"")</f>
      </c>
      <c r="J205" s="42">
        <f>IF(AND(E205=Data!#REF!,Data!#REF!&lt;&gt;""),Data!#REF!,"")</f>
        <v>25569.041666666668</v>
      </c>
      <c r="K205" s="67">
        <f>IF(AND(E205=Data!#REF!,Data!#REF!&lt;&gt;""),Data!#REF!,"")</f>
        <v>25569.041666666668</v>
      </c>
      <c r="L205" s="68">
        <f>IF(E205=Data!#REF!,Data!#REF!,"")</f>
      </c>
      <c r="M205" s="68">
        <f>IF(E205=Data!#REF!,Data!#REF!,"")</f>
      </c>
      <c r="N205" s="69">
        <f>IF(AND(Data!#REF!&lt;&gt;"",Data!#REF!="Accept&amp;#233;"),Data!#REF!,"")</f>
      </c>
    </row>
    <row x14ac:dyDescent="0.25" r="206" customHeight="1" ht="19.5" hidden="1">
      <c r="A206" s="62">
        <f>IF(AND(Data!#REF!&lt;&gt;"",Data!#REF!="Accept&amp;#233;"),Data!#REF!,"")</f>
      </c>
      <c r="B206" s="62">
        <f>IF(AND(Data!#REF!&lt;&gt;"",Data!#REF!="Accept&amp;#233;"),Data!#REF!,"")</f>
      </c>
      <c r="C206" s="63">
        <f>IF(D206&lt;&gt;"","S"&amp;TEXT(WEEKNUM(D206),"00"),"")</f>
      </c>
      <c r="D206" s="42">
        <f>IF(AND(Data!#REF!&lt;&gt;"",Data!#REF!="Accept&amp;#233;"),Data!#REF!,"")</f>
        <v>25569.041666666668</v>
      </c>
      <c r="E206" s="64">
        <f>IF(AND(Data!#REF!&lt;&gt;"",Data!#REF!="Accept&amp;#233;"),Data!#REF!,"")</f>
      </c>
      <c r="F206" s="65">
        <f>IF(AND(Data!#REF!&lt;&gt;"",Data!#REF!="Accept&amp;#233;"),Data!#REF!,"")</f>
      </c>
      <c r="G206" s="66">
        <f>IF(Data!#REF!='Delivery Plan'!E206,Data!#REF!,"")</f>
      </c>
      <c r="H206" s="53"/>
      <c r="I206" s="63">
        <f>IF(J206&lt;&gt;"","S"&amp;TEXT(WEEKNUM(J206),"00"),"")</f>
      </c>
      <c r="J206" s="42">
        <f>IF(AND(E206=Data!#REF!,Data!#REF!&lt;&gt;""),Data!#REF!,"")</f>
        <v>25569.041666666668</v>
      </c>
      <c r="K206" s="67">
        <f>IF(AND(E206=Data!#REF!,Data!#REF!&lt;&gt;""),Data!#REF!,"")</f>
        <v>25569.041666666668</v>
      </c>
      <c r="L206" s="68">
        <f>IF(E206=Data!#REF!,Data!#REF!,"")</f>
      </c>
      <c r="M206" s="68">
        <f>IF(E206=Data!#REF!,Data!#REF!,"")</f>
      </c>
      <c r="N206" s="69">
        <f>IF(AND(Data!#REF!&lt;&gt;"",Data!#REF!="Accept&amp;#233;"),Data!#REF!,"")</f>
      </c>
    </row>
    <row x14ac:dyDescent="0.25" r="207" customHeight="1" ht="19.5" hidden="1">
      <c r="A207" s="62">
        <f>IF(AND(Data!#REF!&lt;&gt;"",Data!#REF!="Accept&amp;#233;"),Data!#REF!,"")</f>
      </c>
      <c r="B207" s="62">
        <f>IF(AND(Data!#REF!&lt;&gt;"",Data!#REF!="Accept&amp;#233;"),Data!#REF!,"")</f>
      </c>
      <c r="C207" s="63">
        <f>IF(D207&lt;&gt;"","S"&amp;TEXT(WEEKNUM(D207),"00"),"")</f>
      </c>
      <c r="D207" s="42">
        <f>IF(AND(Data!#REF!&lt;&gt;"",Data!#REF!="Accept&amp;#233;"),Data!#REF!,"")</f>
        <v>25569.041666666668</v>
      </c>
      <c r="E207" s="64">
        <f>IF(AND(Data!#REF!&lt;&gt;"",Data!#REF!="Accept&amp;#233;"),Data!#REF!,"")</f>
      </c>
      <c r="F207" s="65">
        <f>IF(AND(Data!#REF!&lt;&gt;"",Data!#REF!="Accept&amp;#233;"),Data!#REF!,"")</f>
      </c>
      <c r="G207" s="66">
        <f>IF(Data!#REF!='Delivery Plan'!E207,Data!#REF!,"")</f>
      </c>
      <c r="H207" s="53"/>
      <c r="I207" s="63">
        <f>IF(J207&lt;&gt;"","S"&amp;TEXT(WEEKNUM(J207),"00"),"")</f>
      </c>
      <c r="J207" s="42">
        <f>IF(AND(E207=Data!#REF!,Data!#REF!&lt;&gt;""),Data!#REF!,"")</f>
        <v>25569.041666666668</v>
      </c>
      <c r="K207" s="67">
        <f>IF(AND(E207=Data!#REF!,Data!#REF!&lt;&gt;""),Data!#REF!,"")</f>
        <v>25569.041666666668</v>
      </c>
      <c r="L207" s="68">
        <f>IF(E207=Data!#REF!,Data!#REF!,"")</f>
      </c>
      <c r="M207" s="68">
        <f>IF(E207=Data!#REF!,Data!#REF!,"")</f>
      </c>
      <c r="N207" s="69">
        <f>IF(AND(Data!#REF!&lt;&gt;"",Data!#REF!="Accept&amp;#233;"),Data!#REF!,"")</f>
      </c>
    </row>
    <row x14ac:dyDescent="0.25" r="208" customHeight="1" ht="19.5" hidden="1">
      <c r="A208" s="62">
        <f>IF(AND(Data!#REF!&lt;&gt;"",Data!#REF!="Accept&amp;#233;"),Data!#REF!,"")</f>
      </c>
      <c r="B208" s="62">
        <f>IF(AND(Data!#REF!&lt;&gt;"",Data!#REF!="Accept&amp;#233;"),Data!#REF!,"")</f>
      </c>
      <c r="C208" s="63">
        <f>IF(D208&lt;&gt;"","S"&amp;TEXT(WEEKNUM(D208),"00"),"")</f>
      </c>
      <c r="D208" s="42">
        <f>IF(AND(Data!#REF!&lt;&gt;"",Data!#REF!="Accept&amp;#233;"),Data!#REF!,"")</f>
        <v>25569.041666666668</v>
      </c>
      <c r="E208" s="64">
        <f>IF(AND(Data!#REF!&lt;&gt;"",Data!#REF!="Accept&amp;#233;"),Data!#REF!,"")</f>
      </c>
      <c r="F208" s="65">
        <f>IF(AND(Data!#REF!&lt;&gt;"",Data!#REF!="Accept&amp;#233;"),Data!#REF!,"")</f>
      </c>
      <c r="G208" s="66">
        <f>IF(Data!#REF!='Delivery Plan'!E208,Data!#REF!,"")</f>
      </c>
      <c r="H208" s="53"/>
      <c r="I208" s="63">
        <f>IF(J208&lt;&gt;"","S"&amp;TEXT(WEEKNUM(J208),"00"),"")</f>
      </c>
      <c r="J208" s="42">
        <f>IF(AND(E208=Data!#REF!,Data!#REF!&lt;&gt;""),Data!#REF!,"")</f>
        <v>25569.041666666668</v>
      </c>
      <c r="K208" s="67">
        <f>IF(AND(E208=Data!#REF!,Data!#REF!&lt;&gt;""),Data!#REF!,"")</f>
        <v>25569.041666666668</v>
      </c>
      <c r="L208" s="68">
        <f>IF(E208=Data!#REF!,Data!#REF!,"")</f>
      </c>
      <c r="M208" s="68">
        <f>IF(E208=Data!#REF!,Data!#REF!,"")</f>
      </c>
      <c r="N208" s="69">
        <f>IF(AND(Data!#REF!&lt;&gt;"",Data!#REF!="Accept&amp;#233;"),Data!#REF!,"")</f>
      </c>
    </row>
    <row x14ac:dyDescent="0.25" r="209" customHeight="1" ht="19.5" hidden="1">
      <c r="A209" s="62">
        <f>IF(AND(Data!#REF!&lt;&gt;"",Data!#REF!="Accept&amp;#233;"),Data!#REF!,"")</f>
      </c>
      <c r="B209" s="62">
        <f>IF(AND(Data!#REF!&lt;&gt;"",Data!#REF!="Accept&amp;#233;"),Data!#REF!,"")</f>
      </c>
      <c r="C209" s="63">
        <f>IF(D209&lt;&gt;"","S"&amp;TEXT(WEEKNUM(D209),"00"),"")</f>
      </c>
      <c r="D209" s="42">
        <f>IF(AND(Data!#REF!&lt;&gt;"",Data!#REF!="Accept&amp;#233;"),Data!#REF!,"")</f>
        <v>25569.041666666668</v>
      </c>
      <c r="E209" s="64">
        <f>IF(AND(Data!#REF!&lt;&gt;"",Data!#REF!="Accept&amp;#233;"),Data!#REF!,"")</f>
      </c>
      <c r="F209" s="65">
        <f>IF(AND(Data!#REF!&lt;&gt;"",Data!#REF!="Accept&amp;#233;"),Data!#REF!,"")</f>
      </c>
      <c r="G209" s="66">
        <f>IF(Data!#REF!='Delivery Plan'!E209,Data!#REF!,"")</f>
      </c>
      <c r="H209" s="53"/>
      <c r="I209" s="63">
        <f>IF(J209&lt;&gt;"","S"&amp;TEXT(WEEKNUM(J209),"00"),"")</f>
      </c>
      <c r="J209" s="42">
        <f>IF(AND(E209=Data!#REF!,Data!#REF!&lt;&gt;""),Data!#REF!,"")</f>
        <v>25569.041666666668</v>
      </c>
      <c r="K209" s="67">
        <f>IF(AND(E209=Data!#REF!,Data!#REF!&lt;&gt;""),Data!#REF!,"")</f>
        <v>25569.041666666668</v>
      </c>
      <c r="L209" s="68">
        <f>IF(E209=Data!#REF!,Data!#REF!,"")</f>
      </c>
      <c r="M209" s="68">
        <f>IF(E209=Data!#REF!,Data!#REF!,"")</f>
      </c>
      <c r="N209" s="69">
        <f>IF(AND(Data!#REF!&lt;&gt;"",Data!#REF!="Accept&amp;#233;"),Data!#REF!,"")</f>
      </c>
    </row>
    <row x14ac:dyDescent="0.25" r="210" customHeight="1" ht="19.5" hidden="1">
      <c r="A210" s="62">
        <f>IF(AND(Data!#REF!&lt;&gt;"",Data!#REF!="Accept&amp;#233;"),Data!#REF!,"")</f>
      </c>
      <c r="B210" s="62">
        <f>IF(AND(Data!#REF!&lt;&gt;"",Data!#REF!="Accept&amp;#233;"),Data!#REF!,"")</f>
      </c>
      <c r="C210" s="63">
        <f>IF(D210&lt;&gt;"","S"&amp;TEXT(WEEKNUM(D210),"00"),"")</f>
      </c>
      <c r="D210" s="42">
        <f>IF(AND(Data!#REF!&lt;&gt;"",Data!#REF!="Accept&amp;#233;"),Data!#REF!,"")</f>
        <v>25569.041666666668</v>
      </c>
      <c r="E210" s="64">
        <f>IF(AND(Data!#REF!&lt;&gt;"",Data!#REF!="Accept&amp;#233;"),Data!#REF!,"")</f>
      </c>
      <c r="F210" s="65">
        <f>IF(AND(Data!#REF!&lt;&gt;"",Data!#REF!="Accept&amp;#233;"),Data!#REF!,"")</f>
      </c>
      <c r="G210" s="66">
        <f>IF(Data!#REF!='Delivery Plan'!E210,Data!#REF!,"")</f>
      </c>
      <c r="H210" s="53"/>
      <c r="I210" s="63">
        <f>IF(J210&lt;&gt;"","S"&amp;TEXT(WEEKNUM(J210),"00"),"")</f>
      </c>
      <c r="J210" s="42">
        <f>IF(AND(E210=Data!#REF!,Data!#REF!&lt;&gt;""),Data!#REF!,"")</f>
        <v>25569.041666666668</v>
      </c>
      <c r="K210" s="67">
        <f>IF(AND(E210=Data!#REF!,Data!#REF!&lt;&gt;""),Data!#REF!,"")</f>
        <v>25569.041666666668</v>
      </c>
      <c r="L210" s="68">
        <f>IF(E210=Data!#REF!,Data!#REF!,"")</f>
      </c>
      <c r="M210" s="68">
        <f>IF(E210=Data!#REF!,Data!#REF!,"")</f>
      </c>
      <c r="N210" s="69">
        <f>IF(AND(Data!#REF!&lt;&gt;"",Data!#REF!="Accept&amp;#233;"),Data!#REF!,"")</f>
      </c>
    </row>
    <row x14ac:dyDescent="0.25" r="211" customHeight="1" ht="19.5" hidden="1">
      <c r="A211" s="62">
        <f>IF(AND(Data!#REF!&lt;&gt;"",Data!#REF!="Accept&amp;#233;"),Data!#REF!,"")</f>
      </c>
      <c r="B211" s="62">
        <f>IF(AND(Data!#REF!&lt;&gt;"",Data!#REF!="Accept&amp;#233;"),Data!#REF!,"")</f>
      </c>
      <c r="C211" s="63">
        <f>IF(D211&lt;&gt;"","S"&amp;TEXT(WEEKNUM(D211),"00"),"")</f>
      </c>
      <c r="D211" s="42">
        <f>IF(AND(Data!#REF!&lt;&gt;"",Data!#REF!="Accept&amp;#233;"),Data!#REF!,"")</f>
        <v>25569.041666666668</v>
      </c>
      <c r="E211" s="64">
        <f>IF(AND(Data!#REF!&lt;&gt;"",Data!#REF!="Accept&amp;#233;"),Data!#REF!,"")</f>
      </c>
      <c r="F211" s="65">
        <f>IF(AND(Data!#REF!&lt;&gt;"",Data!#REF!="Accept&amp;#233;"),Data!#REF!,"")</f>
      </c>
      <c r="G211" s="66">
        <f>IF(Data!#REF!='Delivery Plan'!E211,Data!#REF!,"")</f>
      </c>
      <c r="H211" s="53"/>
      <c r="I211" s="63">
        <f>IF(J211&lt;&gt;"","S"&amp;TEXT(WEEKNUM(J211),"00"),"")</f>
      </c>
      <c r="J211" s="42">
        <f>IF(AND(E211=Data!#REF!,Data!#REF!&lt;&gt;""),Data!#REF!,"")</f>
        <v>25569.041666666668</v>
      </c>
      <c r="K211" s="67">
        <f>IF(AND(E211=Data!#REF!,Data!#REF!&lt;&gt;""),Data!#REF!,"")</f>
        <v>25569.041666666668</v>
      </c>
      <c r="L211" s="68">
        <f>IF(E211=Data!#REF!,Data!#REF!,"")</f>
      </c>
      <c r="M211" s="68">
        <f>IF(E211=Data!#REF!,Data!#REF!,"")</f>
      </c>
      <c r="N211" s="69">
        <f>IF(AND(Data!#REF!&lt;&gt;"",Data!#REF!="Accept&amp;#233;"),Data!#REF!,"")</f>
      </c>
    </row>
    <row x14ac:dyDescent="0.25" r="212" customHeight="1" ht="19.5" hidden="1">
      <c r="A212" s="62">
        <f>IF(AND(Data!#REF!&lt;&gt;"",Data!#REF!="Accept&amp;#233;"),Data!#REF!,"")</f>
      </c>
      <c r="B212" s="62">
        <f>IF(AND(Data!#REF!&lt;&gt;"",Data!#REF!="Accept&amp;#233;"),Data!#REF!,"")</f>
      </c>
      <c r="C212" s="63">
        <f>IF(D212&lt;&gt;"","S"&amp;TEXT(WEEKNUM(D212),"00"),"")</f>
      </c>
      <c r="D212" s="42">
        <f>IF(AND(Data!#REF!&lt;&gt;"",Data!#REF!="Accept&amp;#233;"),Data!#REF!,"")</f>
        <v>25569.041666666668</v>
      </c>
      <c r="E212" s="64">
        <f>IF(AND(Data!#REF!&lt;&gt;"",Data!#REF!="Accept&amp;#233;"),Data!#REF!,"")</f>
      </c>
      <c r="F212" s="65">
        <f>IF(AND(Data!#REF!&lt;&gt;"",Data!#REF!="Accept&amp;#233;"),Data!#REF!,"")</f>
      </c>
      <c r="G212" s="66">
        <f>IF(Data!#REF!='Delivery Plan'!E212,Data!#REF!,"")</f>
      </c>
      <c r="H212" s="53"/>
      <c r="I212" s="63">
        <f>IF(J212&lt;&gt;"","S"&amp;TEXT(WEEKNUM(J212),"00"),"")</f>
      </c>
      <c r="J212" s="42">
        <f>IF(AND(E212=Data!#REF!,Data!#REF!&lt;&gt;""),Data!#REF!,"")</f>
        <v>25569.041666666668</v>
      </c>
      <c r="K212" s="67">
        <f>IF(AND(E212=Data!#REF!,Data!#REF!&lt;&gt;""),Data!#REF!,"")</f>
        <v>25569.041666666668</v>
      </c>
      <c r="L212" s="68">
        <f>IF(E212=Data!#REF!,Data!#REF!,"")</f>
      </c>
      <c r="M212" s="68">
        <f>IF(E212=Data!#REF!,Data!#REF!,"")</f>
      </c>
      <c r="N212" s="69">
        <f>IF(AND(Data!#REF!&lt;&gt;"",Data!#REF!="Accept&amp;#233;"),Data!#REF!,"")</f>
      </c>
    </row>
    <row x14ac:dyDescent="0.25" r="213" customHeight="1" ht="19.5" hidden="1">
      <c r="A213" s="62">
        <f>IF(AND(Data!#REF!&lt;&gt;"",Data!#REF!="Accept&amp;#233;"),Data!#REF!,"")</f>
      </c>
      <c r="B213" s="62">
        <f>IF(AND(Data!#REF!&lt;&gt;"",Data!#REF!="Accept&amp;#233;"),Data!#REF!,"")</f>
      </c>
      <c r="C213" s="63">
        <f>IF(D213&lt;&gt;"","S"&amp;TEXT(WEEKNUM(D213),"00"),"")</f>
      </c>
      <c r="D213" s="42">
        <f>IF(AND(Data!#REF!&lt;&gt;"",Data!#REF!="Accept&amp;#233;"),Data!#REF!,"")</f>
        <v>25569.041666666668</v>
      </c>
      <c r="E213" s="64">
        <f>IF(AND(Data!#REF!&lt;&gt;"",Data!#REF!="Accept&amp;#233;"),Data!#REF!,"")</f>
      </c>
      <c r="F213" s="65">
        <f>IF(AND(Data!#REF!&lt;&gt;"",Data!#REF!="Accept&amp;#233;"),Data!#REF!,"")</f>
      </c>
      <c r="G213" s="66">
        <f>IF(Data!#REF!='Delivery Plan'!E213,Data!#REF!,"")</f>
      </c>
      <c r="H213" s="53"/>
      <c r="I213" s="63">
        <f>IF(J213&lt;&gt;"","S"&amp;TEXT(WEEKNUM(J213),"00"),"")</f>
      </c>
      <c r="J213" s="42">
        <f>IF(AND(E213=Data!#REF!,Data!#REF!&lt;&gt;""),Data!#REF!,"")</f>
        <v>25569.041666666668</v>
      </c>
      <c r="K213" s="67">
        <f>IF(AND(E213=Data!#REF!,Data!#REF!&lt;&gt;""),Data!#REF!,"")</f>
        <v>25569.041666666668</v>
      </c>
      <c r="L213" s="68">
        <f>IF(E213=Data!#REF!,Data!#REF!,"")</f>
      </c>
      <c r="M213" s="68">
        <f>IF(E213=Data!#REF!,Data!#REF!,"")</f>
      </c>
      <c r="N213" s="69">
        <f>IF(AND(Data!#REF!&lt;&gt;"",Data!#REF!="Accept&amp;#233;"),Data!#REF!,"")</f>
      </c>
    </row>
    <row x14ac:dyDescent="0.25" r="214" customHeight="1" ht="19.5" hidden="1">
      <c r="A214" s="62">
        <f>IF(AND(Data!#REF!&lt;&gt;"",Data!#REF!="Accept&amp;#233;"),Data!#REF!,"")</f>
      </c>
      <c r="B214" s="62">
        <f>IF(AND(Data!#REF!&lt;&gt;"",Data!#REF!="Accept&amp;#233;"),Data!#REF!,"")</f>
      </c>
      <c r="C214" s="63">
        <f>IF(D214&lt;&gt;"","S"&amp;TEXT(WEEKNUM(D214),"00"),"")</f>
      </c>
      <c r="D214" s="42">
        <f>IF(AND(Data!#REF!&lt;&gt;"",Data!#REF!="Accept&amp;#233;"),Data!#REF!,"")</f>
        <v>25569.041666666668</v>
      </c>
      <c r="E214" s="64">
        <f>IF(AND(Data!#REF!&lt;&gt;"",Data!#REF!="Accept&amp;#233;"),Data!#REF!,"")</f>
      </c>
      <c r="F214" s="65">
        <f>IF(AND(Data!#REF!&lt;&gt;"",Data!#REF!="Accept&amp;#233;"),Data!#REF!,"")</f>
      </c>
      <c r="G214" s="66">
        <f>IF(Data!#REF!='Delivery Plan'!E214,Data!#REF!,"")</f>
      </c>
      <c r="H214" s="53"/>
      <c r="I214" s="63">
        <f>IF(J214&lt;&gt;"","S"&amp;TEXT(WEEKNUM(J214),"00"),"")</f>
      </c>
      <c r="J214" s="42">
        <f>IF(AND(E214=Data!#REF!,Data!#REF!&lt;&gt;""),Data!#REF!,"")</f>
        <v>25569.041666666668</v>
      </c>
      <c r="K214" s="67">
        <f>IF(AND(E214=Data!#REF!,Data!#REF!&lt;&gt;""),Data!#REF!,"")</f>
        <v>25569.041666666668</v>
      </c>
      <c r="L214" s="68">
        <f>IF(E214=Data!#REF!,Data!#REF!,"")</f>
      </c>
      <c r="M214" s="68">
        <f>IF(E214=Data!#REF!,Data!#REF!,"")</f>
      </c>
      <c r="N214" s="69">
        <f>IF(AND(Data!#REF!&lt;&gt;"",Data!#REF!="Accept&amp;#233;"),Data!#REF!,"")</f>
      </c>
    </row>
    <row x14ac:dyDescent="0.25" r="215" customHeight="1" ht="19.5" hidden="1">
      <c r="A215" s="62">
        <f>IF(AND(Data!#REF!&lt;&gt;"",Data!#REF!="Accept&amp;#233;"),Data!#REF!,"")</f>
      </c>
      <c r="B215" s="62">
        <f>IF(AND(Data!#REF!&lt;&gt;"",Data!#REF!="Accept&amp;#233;"),Data!#REF!,"")</f>
      </c>
      <c r="C215" s="63">
        <f>IF(D215&lt;&gt;"","S"&amp;TEXT(WEEKNUM(D215),"00"),"")</f>
      </c>
      <c r="D215" s="42">
        <f>IF(AND(Data!#REF!&lt;&gt;"",Data!#REF!="Accept&amp;#233;"),Data!#REF!,"")</f>
        <v>25569.041666666668</v>
      </c>
      <c r="E215" s="64">
        <f>IF(AND(Data!#REF!&lt;&gt;"",Data!#REF!="Accept&amp;#233;"),Data!#REF!,"")</f>
      </c>
      <c r="F215" s="65">
        <f>IF(AND(Data!#REF!&lt;&gt;"",Data!#REF!="Accept&amp;#233;"),Data!#REF!,"")</f>
      </c>
      <c r="G215" s="66">
        <f>IF(Data!#REF!='Delivery Plan'!E215,Data!#REF!,"")</f>
      </c>
      <c r="H215" s="53"/>
      <c r="I215" s="63">
        <f>IF(J215&lt;&gt;"","S"&amp;TEXT(WEEKNUM(J215),"00"),"")</f>
      </c>
      <c r="J215" s="42">
        <f>IF(AND(E215=Data!#REF!,Data!#REF!&lt;&gt;""),Data!#REF!,"")</f>
        <v>25569.041666666668</v>
      </c>
      <c r="K215" s="67">
        <f>IF(AND(E215=Data!#REF!,Data!#REF!&lt;&gt;""),Data!#REF!,"")</f>
        <v>25569.041666666668</v>
      </c>
      <c r="L215" s="68">
        <f>IF(E215=Data!#REF!,Data!#REF!,"")</f>
      </c>
      <c r="M215" s="68">
        <f>IF(E215=Data!#REF!,Data!#REF!,"")</f>
      </c>
      <c r="N215" s="69">
        <f>IF(AND(Data!#REF!&lt;&gt;"",Data!#REF!="Accept&amp;#233;"),Data!#REF!,"")</f>
      </c>
    </row>
    <row x14ac:dyDescent="0.25" r="216" customHeight="1" ht="19.5" hidden="1">
      <c r="A216" s="62">
        <f>IF(AND(Data!#REF!&lt;&gt;"",Data!#REF!="Accept&amp;#233;"),Data!#REF!,"")</f>
      </c>
      <c r="B216" s="62">
        <f>IF(AND(Data!#REF!&lt;&gt;"",Data!#REF!="Accept&amp;#233;"),Data!#REF!,"")</f>
      </c>
      <c r="C216" s="63">
        <f>IF(D216&lt;&gt;"","S"&amp;TEXT(WEEKNUM(D216),"00"),"")</f>
      </c>
      <c r="D216" s="42">
        <f>IF(AND(Data!#REF!&lt;&gt;"",Data!#REF!="Accept&amp;#233;"),Data!#REF!,"")</f>
        <v>25569.041666666668</v>
      </c>
      <c r="E216" s="64">
        <f>IF(AND(Data!#REF!&lt;&gt;"",Data!#REF!="Accept&amp;#233;"),Data!#REF!,"")</f>
      </c>
      <c r="F216" s="65">
        <f>IF(AND(Data!#REF!&lt;&gt;"",Data!#REF!="Accept&amp;#233;"),Data!#REF!,"")</f>
      </c>
      <c r="G216" s="66">
        <f>IF(Data!#REF!='Delivery Plan'!E216,Data!#REF!,"")</f>
      </c>
      <c r="H216" s="53"/>
      <c r="I216" s="63">
        <f>IF(J216&lt;&gt;"","S"&amp;TEXT(WEEKNUM(J216),"00"),"")</f>
      </c>
      <c r="J216" s="42">
        <f>IF(AND(E216=Data!#REF!,Data!#REF!&lt;&gt;""),Data!#REF!,"")</f>
        <v>25569.041666666668</v>
      </c>
      <c r="K216" s="67">
        <f>IF(AND(E216=Data!#REF!,Data!#REF!&lt;&gt;""),Data!#REF!,"")</f>
        <v>25569.041666666668</v>
      </c>
      <c r="L216" s="68">
        <f>IF(E216=Data!#REF!,Data!#REF!,"")</f>
      </c>
      <c r="M216" s="68">
        <f>IF(E216=Data!#REF!,Data!#REF!,"")</f>
      </c>
      <c r="N216" s="69">
        <f>IF(AND(Data!#REF!&lt;&gt;"",Data!#REF!="Accept&amp;#233;"),Data!#REF!,"")</f>
      </c>
    </row>
    <row x14ac:dyDescent="0.25" r="217" customHeight="1" ht="19.5" hidden="1">
      <c r="A217" s="62">
        <f>IF(AND(Data!#REF!&lt;&gt;"",Data!#REF!="Accept&amp;#233;"),Data!#REF!,"")</f>
      </c>
      <c r="B217" s="62">
        <f>IF(AND(Data!#REF!&lt;&gt;"",Data!#REF!="Accept&amp;#233;"),Data!#REF!,"")</f>
      </c>
      <c r="C217" s="63">
        <f>IF(D217&lt;&gt;"","S"&amp;TEXT(WEEKNUM(D217),"00"),"")</f>
      </c>
      <c r="D217" s="42">
        <f>IF(AND(Data!#REF!&lt;&gt;"",Data!#REF!="Accept&amp;#233;"),Data!#REF!,"")</f>
        <v>25569.041666666668</v>
      </c>
      <c r="E217" s="64">
        <f>IF(AND(Data!#REF!&lt;&gt;"",Data!#REF!="Accept&amp;#233;"),Data!#REF!,"")</f>
      </c>
      <c r="F217" s="65">
        <f>IF(AND(Data!#REF!&lt;&gt;"",Data!#REF!="Accept&amp;#233;"),Data!#REF!,"")</f>
      </c>
      <c r="G217" s="66">
        <f>IF(Data!#REF!='Delivery Plan'!E217,Data!#REF!,"")</f>
      </c>
      <c r="H217" s="53"/>
      <c r="I217" s="63">
        <f>IF(J217&lt;&gt;"","S"&amp;TEXT(WEEKNUM(J217),"00"),"")</f>
      </c>
      <c r="J217" s="42">
        <f>IF(AND(E217=Data!#REF!,Data!#REF!&lt;&gt;""),Data!#REF!,"")</f>
        <v>25569.041666666668</v>
      </c>
      <c r="K217" s="67">
        <f>IF(AND(E217=Data!#REF!,Data!#REF!&lt;&gt;""),Data!#REF!,"")</f>
        <v>25569.041666666668</v>
      </c>
      <c r="L217" s="68">
        <f>IF(E217=Data!#REF!,Data!#REF!,"")</f>
      </c>
      <c r="M217" s="68">
        <f>IF(E217=Data!#REF!,Data!#REF!,"")</f>
      </c>
      <c r="N217" s="69">
        <f>IF(AND(Data!#REF!&lt;&gt;"",Data!#REF!="Accept&amp;#233;"),Data!#REF!,"")</f>
      </c>
    </row>
    <row x14ac:dyDescent="0.25" r="218" customHeight="1" ht="19.5" hidden="1">
      <c r="A218" s="62">
        <f>IF(AND(Data!#REF!&lt;&gt;"",Data!#REF!="Accept&amp;#233;"),Data!#REF!,"")</f>
      </c>
      <c r="B218" s="62">
        <f>IF(AND(Data!#REF!&lt;&gt;"",Data!#REF!="Accept&amp;#233;"),Data!#REF!,"")</f>
      </c>
      <c r="C218" s="63">
        <f>IF(D218&lt;&gt;"","S"&amp;TEXT(WEEKNUM(D218),"00"),"")</f>
      </c>
      <c r="D218" s="42">
        <f>IF(AND(Data!#REF!&lt;&gt;"",Data!#REF!="Accept&amp;#233;"),Data!#REF!,"")</f>
        <v>25569.041666666668</v>
      </c>
      <c r="E218" s="64">
        <f>IF(AND(Data!#REF!&lt;&gt;"",Data!#REF!="Accept&amp;#233;"),Data!#REF!,"")</f>
      </c>
      <c r="F218" s="65">
        <f>IF(AND(Data!#REF!&lt;&gt;"",Data!#REF!="Accept&amp;#233;"),Data!#REF!,"")</f>
      </c>
      <c r="G218" s="66">
        <f>IF(Data!#REF!='Delivery Plan'!E218,Data!#REF!,"")</f>
      </c>
      <c r="H218" s="53"/>
      <c r="I218" s="63">
        <f>IF(J218&lt;&gt;"","S"&amp;TEXT(WEEKNUM(J218),"00"),"")</f>
      </c>
      <c r="J218" s="42">
        <f>IF(AND(E218=Data!#REF!,Data!#REF!&lt;&gt;""),Data!#REF!,"")</f>
        <v>25569.041666666668</v>
      </c>
      <c r="K218" s="67">
        <f>IF(AND(E218=Data!#REF!,Data!#REF!&lt;&gt;""),Data!#REF!,"")</f>
        <v>25569.041666666668</v>
      </c>
      <c r="L218" s="68">
        <f>IF(E218=Data!#REF!,Data!#REF!,"")</f>
      </c>
      <c r="M218" s="68">
        <f>IF(E218=Data!#REF!,Data!#REF!,"")</f>
      </c>
      <c r="N218" s="69">
        <f>IF(AND(Data!#REF!&lt;&gt;"",Data!#REF!="Accept&amp;#233;"),Data!#REF!,"")</f>
      </c>
    </row>
    <row x14ac:dyDescent="0.25" r="219" customHeight="1" ht="19.5" hidden="1">
      <c r="A219" s="62">
        <f>IF(AND(Data!#REF!&lt;&gt;"",Data!#REF!="Accept&amp;#233;"),Data!#REF!,"")</f>
      </c>
      <c r="B219" s="62">
        <f>IF(AND(Data!#REF!&lt;&gt;"",Data!#REF!="Accept&amp;#233;"),Data!#REF!,"")</f>
      </c>
      <c r="C219" s="63">
        <f>IF(D219&lt;&gt;"","S"&amp;TEXT(WEEKNUM(D219),"00"),"")</f>
      </c>
      <c r="D219" s="42">
        <f>IF(AND(Data!#REF!&lt;&gt;"",Data!#REF!="Accept&amp;#233;"),Data!#REF!,"")</f>
        <v>25569.041666666668</v>
      </c>
      <c r="E219" s="64">
        <f>IF(AND(Data!#REF!&lt;&gt;"",Data!#REF!="Accept&amp;#233;"),Data!#REF!,"")</f>
      </c>
      <c r="F219" s="65">
        <f>IF(AND(Data!#REF!&lt;&gt;"",Data!#REF!="Accept&amp;#233;"),Data!#REF!,"")</f>
      </c>
      <c r="G219" s="66">
        <f>IF(Data!#REF!='Delivery Plan'!E219,Data!#REF!,"")</f>
      </c>
      <c r="H219" s="53"/>
      <c r="I219" s="63">
        <f>IF(J219&lt;&gt;"","S"&amp;TEXT(WEEKNUM(J219),"00"),"")</f>
      </c>
      <c r="J219" s="42">
        <f>IF(AND(E219=Data!#REF!,Data!#REF!&lt;&gt;""),Data!#REF!,"")</f>
        <v>25569.041666666668</v>
      </c>
      <c r="K219" s="67">
        <f>IF(AND(E219=Data!#REF!,Data!#REF!&lt;&gt;""),Data!#REF!,"")</f>
        <v>25569.041666666668</v>
      </c>
      <c r="L219" s="68">
        <f>IF(E219=Data!#REF!,Data!#REF!,"")</f>
      </c>
      <c r="M219" s="68">
        <f>IF(E219=Data!#REF!,Data!#REF!,"")</f>
      </c>
      <c r="N219" s="69">
        <f>IF(AND(Data!#REF!&lt;&gt;"",Data!#REF!="Accept&amp;#233;"),Data!#REF!,"")</f>
      </c>
    </row>
    <row x14ac:dyDescent="0.25" r="220" customHeight="1" ht="19.5" hidden="1">
      <c r="A220" s="62">
        <f>IF(AND(Data!#REF!&lt;&gt;"",Data!#REF!="Accept&amp;#233;"),Data!#REF!,"")</f>
      </c>
      <c r="B220" s="62">
        <f>IF(AND(Data!#REF!&lt;&gt;"",Data!#REF!="Accept&amp;#233;"),Data!#REF!,"")</f>
      </c>
      <c r="C220" s="63">
        <f>IF(D220&lt;&gt;"","S"&amp;TEXT(WEEKNUM(D220),"00"),"")</f>
      </c>
      <c r="D220" s="42">
        <f>IF(AND(Data!#REF!&lt;&gt;"",Data!#REF!="Accept&amp;#233;"),Data!#REF!,"")</f>
        <v>25569.041666666668</v>
      </c>
      <c r="E220" s="64">
        <f>IF(AND(Data!#REF!&lt;&gt;"",Data!#REF!="Accept&amp;#233;"),Data!#REF!,"")</f>
      </c>
      <c r="F220" s="65">
        <f>IF(AND(Data!#REF!&lt;&gt;"",Data!#REF!="Accept&amp;#233;"),Data!#REF!,"")</f>
      </c>
      <c r="G220" s="66">
        <f>IF(Data!#REF!='Delivery Plan'!E220,Data!#REF!,"")</f>
      </c>
      <c r="H220" s="53"/>
      <c r="I220" s="63">
        <f>IF(J220&lt;&gt;"","S"&amp;TEXT(WEEKNUM(J220),"00"),"")</f>
      </c>
      <c r="J220" s="42">
        <f>IF(AND(E220=Data!#REF!,Data!#REF!&lt;&gt;""),Data!#REF!,"")</f>
        <v>25569.041666666668</v>
      </c>
      <c r="K220" s="67">
        <f>IF(AND(E220=Data!#REF!,Data!#REF!&lt;&gt;""),Data!#REF!,"")</f>
        <v>25569.041666666668</v>
      </c>
      <c r="L220" s="68">
        <f>IF(E220=Data!#REF!,Data!#REF!,"")</f>
      </c>
      <c r="M220" s="68">
        <f>IF(E220=Data!#REF!,Data!#REF!,"")</f>
      </c>
      <c r="N220" s="69">
        <f>IF(AND(Data!#REF!&lt;&gt;"",Data!#REF!="Accept&amp;#233;"),Data!#REF!,"")</f>
      </c>
    </row>
    <row x14ac:dyDescent="0.25" r="221" customHeight="1" ht="19.5" hidden="1">
      <c r="A221" s="62">
        <f>IF(AND(Data!#REF!&lt;&gt;"",Data!#REF!="Accept&amp;#233;"),Data!#REF!,"")</f>
      </c>
      <c r="B221" s="62">
        <f>IF(AND(Data!#REF!&lt;&gt;"",Data!#REF!="Accept&amp;#233;"),Data!#REF!,"")</f>
      </c>
      <c r="C221" s="63">
        <f>IF(D221&lt;&gt;"","S"&amp;TEXT(WEEKNUM(D221),"00"),"")</f>
      </c>
      <c r="D221" s="42">
        <f>IF(AND(Data!#REF!&lt;&gt;"",Data!#REF!="Accept&amp;#233;"),Data!#REF!,"")</f>
        <v>25569.041666666668</v>
      </c>
      <c r="E221" s="64">
        <f>IF(AND(Data!#REF!&lt;&gt;"",Data!#REF!="Accept&amp;#233;"),Data!#REF!,"")</f>
      </c>
      <c r="F221" s="65">
        <f>IF(AND(Data!#REF!&lt;&gt;"",Data!#REF!="Accept&amp;#233;"),Data!#REF!,"")</f>
      </c>
      <c r="G221" s="66">
        <f>IF(Data!#REF!='Delivery Plan'!E221,Data!#REF!,"")</f>
      </c>
      <c r="H221" s="53"/>
      <c r="I221" s="63">
        <f>IF(J221&lt;&gt;"","S"&amp;TEXT(WEEKNUM(J221),"00"),"")</f>
      </c>
      <c r="J221" s="42">
        <f>IF(AND(E221=Data!#REF!,Data!#REF!&lt;&gt;""),Data!#REF!,"")</f>
        <v>25569.041666666668</v>
      </c>
      <c r="K221" s="67">
        <f>IF(AND(E221=Data!#REF!,Data!#REF!&lt;&gt;""),Data!#REF!,"")</f>
        <v>25569.041666666668</v>
      </c>
      <c r="L221" s="68">
        <f>IF(E221=Data!#REF!,Data!#REF!,"")</f>
      </c>
      <c r="M221" s="68">
        <f>IF(E221=Data!#REF!,Data!#REF!,"")</f>
      </c>
      <c r="N221" s="69">
        <f>IF(AND(Data!#REF!&lt;&gt;"",Data!#REF!="Accept&amp;#233;"),Data!#REF!,"")</f>
      </c>
    </row>
    <row x14ac:dyDescent="0.25" r="222" customHeight="1" ht="19.5" hidden="1">
      <c r="A222" s="62">
        <f>IF(AND(Data!#REF!&lt;&gt;"",Data!#REF!="Accept&amp;#233;"),Data!#REF!,"")</f>
      </c>
      <c r="B222" s="62">
        <f>IF(AND(Data!#REF!&lt;&gt;"",Data!#REF!="Accept&amp;#233;"),Data!#REF!,"")</f>
      </c>
      <c r="C222" s="63">
        <f>IF(D222&lt;&gt;"","S"&amp;TEXT(WEEKNUM(D222),"00"),"")</f>
      </c>
      <c r="D222" s="42">
        <f>IF(AND(Data!#REF!&lt;&gt;"",Data!#REF!="Accept&amp;#233;"),Data!#REF!,"")</f>
        <v>25569.041666666668</v>
      </c>
      <c r="E222" s="64">
        <f>IF(AND(Data!#REF!&lt;&gt;"",Data!#REF!="Accept&amp;#233;"),Data!#REF!,"")</f>
      </c>
      <c r="F222" s="65">
        <f>IF(AND(Data!#REF!&lt;&gt;"",Data!#REF!="Accept&amp;#233;"),Data!#REF!,"")</f>
      </c>
      <c r="G222" s="66">
        <f>IF(Data!#REF!='Delivery Plan'!E222,Data!#REF!,"")</f>
      </c>
      <c r="H222" s="53"/>
      <c r="I222" s="63">
        <f>IF(J222&lt;&gt;"","S"&amp;TEXT(WEEKNUM(J222),"00"),"")</f>
      </c>
      <c r="J222" s="42">
        <f>IF(AND(E222=Data!#REF!,Data!#REF!&lt;&gt;""),Data!#REF!,"")</f>
        <v>25569.041666666668</v>
      </c>
      <c r="K222" s="67">
        <f>IF(AND(E222=Data!#REF!,Data!#REF!&lt;&gt;""),Data!#REF!,"")</f>
        <v>25569.041666666668</v>
      </c>
      <c r="L222" s="68">
        <f>IF(E222=Data!#REF!,Data!#REF!,"")</f>
      </c>
      <c r="M222" s="68">
        <f>IF(E222=Data!#REF!,Data!#REF!,"")</f>
      </c>
      <c r="N222" s="69">
        <f>IF(AND(Data!#REF!&lt;&gt;"",Data!#REF!="Accept&amp;#233;"),Data!#REF!,"")</f>
      </c>
    </row>
    <row x14ac:dyDescent="0.25" r="223" customHeight="1" ht="19.5" hidden="1">
      <c r="A223" s="62">
        <f>IF(AND(Data!#REF!&lt;&gt;"",Data!#REF!="Accept&amp;#233;"),Data!#REF!,"")</f>
      </c>
      <c r="B223" s="62">
        <f>IF(AND(Data!#REF!&lt;&gt;"",Data!#REF!="Accept&amp;#233;"),Data!#REF!,"")</f>
      </c>
      <c r="C223" s="63">
        <f>IF(D223&lt;&gt;"","S"&amp;TEXT(WEEKNUM(D223),"00"),"")</f>
      </c>
      <c r="D223" s="42">
        <f>IF(AND(Data!#REF!&lt;&gt;"",Data!#REF!="Accept&amp;#233;"),Data!#REF!,"")</f>
        <v>25569.041666666668</v>
      </c>
      <c r="E223" s="64">
        <f>IF(AND(Data!#REF!&lt;&gt;"",Data!#REF!="Accept&amp;#233;"),Data!#REF!,"")</f>
      </c>
      <c r="F223" s="65">
        <f>IF(AND(Data!#REF!&lt;&gt;"",Data!#REF!="Accept&amp;#233;"),Data!#REF!,"")</f>
      </c>
      <c r="G223" s="66">
        <f>IF(Data!#REF!='Delivery Plan'!E223,Data!#REF!,"")</f>
      </c>
      <c r="H223" s="53"/>
      <c r="I223" s="63">
        <f>IF(J223&lt;&gt;"","S"&amp;TEXT(WEEKNUM(J223),"00"),"")</f>
      </c>
      <c r="J223" s="42">
        <f>IF(AND(E223=Data!#REF!,Data!#REF!&lt;&gt;""),Data!#REF!,"")</f>
        <v>25569.041666666668</v>
      </c>
      <c r="K223" s="67">
        <f>IF(AND(E223=Data!#REF!,Data!#REF!&lt;&gt;""),Data!#REF!,"")</f>
        <v>25569.041666666668</v>
      </c>
      <c r="L223" s="68">
        <f>IF(E223=Data!#REF!,Data!#REF!,"")</f>
      </c>
      <c r="M223" s="68">
        <f>IF(E223=Data!#REF!,Data!#REF!,"")</f>
      </c>
      <c r="N223" s="69">
        <f>IF(AND(Data!#REF!&lt;&gt;"",Data!#REF!="Accept&amp;#233;"),Data!#REF!,"")</f>
      </c>
    </row>
    <row x14ac:dyDescent="0.25" r="224" customHeight="1" ht="19.5" hidden="1">
      <c r="A224" s="62">
        <f>IF(AND(Data!#REF!&lt;&gt;"",Data!#REF!="Accept&amp;#233;"),Data!#REF!,"")</f>
      </c>
      <c r="B224" s="62">
        <f>IF(AND(Data!#REF!&lt;&gt;"",Data!#REF!="Accept&amp;#233;"),Data!#REF!,"")</f>
      </c>
      <c r="C224" s="63">
        <f>IF(D224&lt;&gt;"","S"&amp;TEXT(WEEKNUM(D224),"00"),"")</f>
      </c>
      <c r="D224" s="42">
        <f>IF(AND(Data!#REF!&lt;&gt;"",Data!#REF!="Accept&amp;#233;"),Data!#REF!,"")</f>
        <v>25569.041666666668</v>
      </c>
      <c r="E224" s="64">
        <f>IF(AND(Data!#REF!&lt;&gt;"",Data!#REF!="Accept&amp;#233;"),Data!#REF!,"")</f>
      </c>
      <c r="F224" s="65">
        <f>IF(AND(Data!#REF!&lt;&gt;"",Data!#REF!="Accept&amp;#233;"),Data!#REF!,"")</f>
      </c>
      <c r="G224" s="66">
        <f>IF(Data!#REF!='Delivery Plan'!E224,Data!#REF!,"")</f>
      </c>
      <c r="H224" s="53"/>
      <c r="I224" s="63">
        <f>IF(J224&lt;&gt;"","S"&amp;TEXT(WEEKNUM(J224),"00"),"")</f>
      </c>
      <c r="J224" s="42">
        <f>IF(AND(E224=Data!#REF!,Data!#REF!&lt;&gt;""),Data!#REF!,"")</f>
        <v>25569.041666666668</v>
      </c>
      <c r="K224" s="67">
        <f>IF(AND(E224=Data!#REF!,Data!#REF!&lt;&gt;""),Data!#REF!,"")</f>
        <v>25569.041666666668</v>
      </c>
      <c r="L224" s="68">
        <f>IF(E224=Data!#REF!,Data!#REF!,"")</f>
      </c>
      <c r="M224" s="68">
        <f>IF(E224=Data!#REF!,Data!#REF!,"")</f>
      </c>
      <c r="N224" s="69">
        <f>IF(AND(Data!#REF!&lt;&gt;"",Data!#REF!="Accept&amp;#233;"),Data!#REF!,"")</f>
      </c>
    </row>
    <row x14ac:dyDescent="0.25" r="225" customHeight="1" ht="19.5" hidden="1">
      <c r="A225" s="62">
        <f>IF(AND(Data!#REF!&lt;&gt;"",Data!#REF!="Accept&amp;#233;"),Data!#REF!,"")</f>
      </c>
      <c r="B225" s="62">
        <f>IF(AND(Data!#REF!&lt;&gt;"",Data!#REF!="Accept&amp;#233;"),Data!#REF!,"")</f>
      </c>
      <c r="C225" s="63">
        <f>IF(D225&lt;&gt;"","S"&amp;TEXT(WEEKNUM(D225),"00"),"")</f>
      </c>
      <c r="D225" s="42">
        <f>IF(AND(Data!#REF!&lt;&gt;"",Data!#REF!="Accept&amp;#233;"),Data!#REF!,"")</f>
        <v>25569.041666666668</v>
      </c>
      <c r="E225" s="64">
        <f>IF(AND(Data!#REF!&lt;&gt;"",Data!#REF!="Accept&amp;#233;"),Data!#REF!,"")</f>
      </c>
      <c r="F225" s="65">
        <f>IF(AND(Data!#REF!&lt;&gt;"",Data!#REF!="Accept&amp;#233;"),Data!#REF!,"")</f>
      </c>
      <c r="G225" s="66">
        <f>IF(Data!#REF!='Delivery Plan'!E225,Data!#REF!,"")</f>
      </c>
      <c r="H225" s="53"/>
      <c r="I225" s="63">
        <f>IF(J225&lt;&gt;"","S"&amp;TEXT(WEEKNUM(J225),"00"),"")</f>
      </c>
      <c r="J225" s="42">
        <f>IF(AND(E225=Data!#REF!,Data!#REF!&lt;&gt;""),Data!#REF!,"")</f>
        <v>25569.041666666668</v>
      </c>
      <c r="K225" s="67">
        <f>IF(AND(E225=Data!#REF!,Data!#REF!&lt;&gt;""),Data!#REF!,"")</f>
        <v>25569.041666666668</v>
      </c>
      <c r="L225" s="68">
        <f>IF(E225=Data!#REF!,Data!#REF!,"")</f>
      </c>
      <c r="M225" s="68">
        <f>IF(E225=Data!#REF!,Data!#REF!,"")</f>
      </c>
      <c r="N225" s="69">
        <f>IF(AND(Data!#REF!&lt;&gt;"",Data!#REF!="Accept&amp;#233;"),Data!#REF!,"")</f>
      </c>
    </row>
    <row x14ac:dyDescent="0.25" r="226" customHeight="1" ht="19.5" hidden="1">
      <c r="A226" s="62">
        <f>IF(AND(Data!#REF!&lt;&gt;"",Data!#REF!="Accept&amp;#233;"),Data!#REF!,"")</f>
      </c>
      <c r="B226" s="62">
        <f>IF(AND(Data!#REF!&lt;&gt;"",Data!#REF!="Accept&amp;#233;"),Data!#REF!,"")</f>
      </c>
      <c r="C226" s="63">
        <f>IF(D226&lt;&gt;"","S"&amp;TEXT(WEEKNUM(D226),"00"),"")</f>
      </c>
      <c r="D226" s="42">
        <f>IF(AND(Data!#REF!&lt;&gt;"",Data!#REF!="Accept&amp;#233;"),Data!#REF!,"")</f>
        <v>25569.041666666668</v>
      </c>
      <c r="E226" s="64">
        <f>IF(AND(Data!#REF!&lt;&gt;"",Data!#REF!="Accept&amp;#233;"),Data!#REF!,"")</f>
      </c>
      <c r="F226" s="65">
        <f>IF(AND(Data!#REF!&lt;&gt;"",Data!#REF!="Accept&amp;#233;"),Data!#REF!,"")</f>
      </c>
      <c r="G226" s="66">
        <f>IF(Data!#REF!='Delivery Plan'!E226,Data!#REF!,"")</f>
      </c>
      <c r="H226" s="53"/>
      <c r="I226" s="63">
        <f>IF(J226&lt;&gt;"","S"&amp;TEXT(WEEKNUM(J226),"00"),"")</f>
      </c>
      <c r="J226" s="42">
        <f>IF(AND(E226=Data!#REF!,Data!#REF!&lt;&gt;""),Data!#REF!,"")</f>
        <v>25569.041666666668</v>
      </c>
      <c r="K226" s="67">
        <f>IF(AND(E226=Data!#REF!,Data!#REF!&lt;&gt;""),Data!#REF!,"")</f>
        <v>25569.041666666668</v>
      </c>
      <c r="L226" s="68">
        <f>IF(E226=Data!#REF!,Data!#REF!,"")</f>
      </c>
      <c r="M226" s="68">
        <f>IF(E226=Data!#REF!,Data!#REF!,"")</f>
      </c>
      <c r="N226" s="69">
        <f>IF(AND(Data!#REF!&lt;&gt;"",Data!#REF!="Accept&amp;#233;"),Data!#REF!,"")</f>
      </c>
    </row>
    <row x14ac:dyDescent="0.25" r="227" customHeight="1" ht="19.5" hidden="1">
      <c r="A227" s="62">
        <f>IF(AND(Data!#REF!&lt;&gt;"",Data!#REF!="Accept&amp;#233;"),Data!#REF!,"")</f>
      </c>
      <c r="B227" s="62">
        <f>IF(AND(Data!#REF!&lt;&gt;"",Data!#REF!="Accept&amp;#233;"),Data!#REF!,"")</f>
      </c>
      <c r="C227" s="63">
        <f>IF(D227&lt;&gt;"","S"&amp;TEXT(WEEKNUM(D227),"00"),"")</f>
      </c>
      <c r="D227" s="42">
        <f>IF(AND(Data!#REF!&lt;&gt;"",Data!#REF!="Accept&amp;#233;"),Data!#REF!,"")</f>
        <v>25569.041666666668</v>
      </c>
      <c r="E227" s="64">
        <f>IF(AND(Data!#REF!&lt;&gt;"",Data!#REF!="Accept&amp;#233;"),Data!#REF!,"")</f>
      </c>
      <c r="F227" s="65">
        <f>IF(AND(Data!#REF!&lt;&gt;"",Data!#REF!="Accept&amp;#233;"),Data!#REF!,"")</f>
      </c>
      <c r="G227" s="66">
        <f>IF(Data!#REF!='Delivery Plan'!E227,Data!#REF!,"")</f>
      </c>
      <c r="H227" s="53"/>
      <c r="I227" s="63">
        <f>IF(J227&lt;&gt;"","S"&amp;TEXT(WEEKNUM(J227),"00"),"")</f>
      </c>
      <c r="J227" s="42">
        <f>IF(AND(E227=Data!#REF!,Data!#REF!&lt;&gt;""),Data!#REF!,"")</f>
        <v>25569.041666666668</v>
      </c>
      <c r="K227" s="67">
        <f>IF(AND(E227=Data!#REF!,Data!#REF!&lt;&gt;""),Data!#REF!,"")</f>
        <v>25569.041666666668</v>
      </c>
      <c r="L227" s="68">
        <f>IF(E227=Data!#REF!,Data!#REF!,"")</f>
      </c>
      <c r="M227" s="68">
        <f>IF(E227=Data!#REF!,Data!#REF!,"")</f>
      </c>
      <c r="N227" s="69">
        <f>IF(AND(Data!#REF!&lt;&gt;"",Data!#REF!="Accept&amp;#233;"),Data!#REF!,"")</f>
      </c>
    </row>
    <row x14ac:dyDescent="0.25" r="228" customHeight="1" ht="19.5" hidden="1">
      <c r="A228" s="62">
        <f>IF(AND(Data!#REF!&lt;&gt;"",Data!#REF!="Accept&amp;#233;"),Data!#REF!,"")</f>
      </c>
      <c r="B228" s="62">
        <f>IF(AND(Data!#REF!&lt;&gt;"",Data!#REF!="Accept&amp;#233;"),Data!#REF!,"")</f>
      </c>
      <c r="C228" s="63">
        <f>IF(D228&lt;&gt;"","S"&amp;TEXT(WEEKNUM(D228),"00"),"")</f>
      </c>
      <c r="D228" s="42">
        <f>IF(AND(Data!#REF!&lt;&gt;"",Data!#REF!="Accept&amp;#233;"),Data!#REF!,"")</f>
        <v>25569.041666666668</v>
      </c>
      <c r="E228" s="64">
        <f>IF(AND(Data!#REF!&lt;&gt;"",Data!#REF!="Accept&amp;#233;"),Data!#REF!,"")</f>
      </c>
      <c r="F228" s="65">
        <f>IF(AND(Data!#REF!&lt;&gt;"",Data!#REF!="Accept&amp;#233;"),Data!#REF!,"")</f>
      </c>
      <c r="G228" s="66">
        <f>IF(Data!#REF!='Delivery Plan'!E228,Data!#REF!,"")</f>
      </c>
      <c r="H228" s="53"/>
      <c r="I228" s="63">
        <f>IF(J228&lt;&gt;"","S"&amp;TEXT(WEEKNUM(J228),"00"),"")</f>
      </c>
      <c r="J228" s="42">
        <f>IF(AND(E228=Data!#REF!,Data!#REF!&lt;&gt;""),Data!#REF!,"")</f>
        <v>25569.041666666668</v>
      </c>
      <c r="K228" s="67">
        <f>IF(AND(E228=Data!#REF!,Data!#REF!&lt;&gt;""),Data!#REF!,"")</f>
        <v>25569.041666666668</v>
      </c>
      <c r="L228" s="68">
        <f>IF(E228=Data!#REF!,Data!#REF!,"")</f>
      </c>
      <c r="M228" s="68">
        <f>IF(E228=Data!#REF!,Data!#REF!,"")</f>
      </c>
      <c r="N228" s="69">
        <f>IF(AND(Data!#REF!&lt;&gt;"",Data!#REF!="Accept&amp;#233;"),Data!#REF!,"")</f>
      </c>
    </row>
    <row x14ac:dyDescent="0.25" r="229" customHeight="1" ht="19.5" hidden="1">
      <c r="A229" s="62">
        <f>IF(AND(Data!#REF!&lt;&gt;"",Data!#REF!="Accept&amp;#233;"),Data!#REF!,"")</f>
      </c>
      <c r="B229" s="62">
        <f>IF(AND(Data!#REF!&lt;&gt;"",Data!#REF!="Accept&amp;#233;"),Data!#REF!,"")</f>
      </c>
      <c r="C229" s="63">
        <f>IF(D229&lt;&gt;"","S"&amp;TEXT(WEEKNUM(D229),"00"),"")</f>
      </c>
      <c r="D229" s="42">
        <f>IF(AND(Data!#REF!&lt;&gt;"",Data!#REF!="Accept&amp;#233;"),Data!#REF!,"")</f>
        <v>25569.041666666668</v>
      </c>
      <c r="E229" s="64">
        <f>IF(AND(Data!#REF!&lt;&gt;"",Data!#REF!="Accept&amp;#233;"),Data!#REF!,"")</f>
      </c>
      <c r="F229" s="65">
        <f>IF(AND(Data!#REF!&lt;&gt;"",Data!#REF!="Accept&amp;#233;"),Data!#REF!,"")</f>
      </c>
      <c r="G229" s="66">
        <f>IF(Data!#REF!='Delivery Plan'!E229,Data!#REF!,"")</f>
      </c>
      <c r="H229" s="53"/>
      <c r="I229" s="63">
        <f>IF(J229&lt;&gt;"","S"&amp;TEXT(WEEKNUM(J229),"00"),"")</f>
      </c>
      <c r="J229" s="42">
        <f>IF(AND(E229=Data!#REF!,Data!#REF!&lt;&gt;""),Data!#REF!,"")</f>
        <v>25569.041666666668</v>
      </c>
      <c r="K229" s="67">
        <f>IF(AND(E229=Data!#REF!,Data!#REF!&lt;&gt;""),Data!#REF!,"")</f>
        <v>25569.041666666668</v>
      </c>
      <c r="L229" s="68">
        <f>IF(E229=Data!#REF!,Data!#REF!,"")</f>
      </c>
      <c r="M229" s="68">
        <f>IF(E229=Data!#REF!,Data!#REF!,"")</f>
      </c>
      <c r="N229" s="69">
        <f>IF(AND(Data!#REF!&lt;&gt;"",Data!#REF!="Accept&amp;#233;"),Data!#REF!,"")</f>
      </c>
    </row>
    <row x14ac:dyDescent="0.25" r="230" customHeight="1" ht="19.5" hidden="1">
      <c r="A230" s="62">
        <f>IF(AND(Data!#REF!&lt;&gt;"",Data!#REF!="Accept&amp;#233;"),Data!#REF!,"")</f>
      </c>
      <c r="B230" s="62">
        <f>IF(AND(Data!#REF!&lt;&gt;"",Data!#REF!="Accept&amp;#233;"),Data!#REF!,"")</f>
      </c>
      <c r="C230" s="63">
        <f>IF(D230&lt;&gt;"","S"&amp;TEXT(WEEKNUM(D230),"00"),"")</f>
      </c>
      <c r="D230" s="42">
        <f>IF(AND(Data!#REF!&lt;&gt;"",Data!#REF!="Accept&amp;#233;"),Data!#REF!,"")</f>
        <v>25569.041666666668</v>
      </c>
      <c r="E230" s="64">
        <f>IF(AND(Data!#REF!&lt;&gt;"",Data!#REF!="Accept&amp;#233;"),Data!#REF!,"")</f>
      </c>
      <c r="F230" s="65">
        <f>IF(AND(Data!#REF!&lt;&gt;"",Data!#REF!="Accept&amp;#233;"),Data!#REF!,"")</f>
      </c>
      <c r="G230" s="66">
        <f>IF(Data!#REF!='Delivery Plan'!E230,Data!#REF!,"")</f>
      </c>
      <c r="H230" s="53"/>
      <c r="I230" s="63">
        <f>IF(J230&lt;&gt;"","S"&amp;TEXT(WEEKNUM(J230),"00"),"")</f>
      </c>
      <c r="J230" s="42">
        <f>IF(AND(E230=Data!#REF!,Data!#REF!&lt;&gt;""),Data!#REF!,"")</f>
        <v>25569.041666666668</v>
      </c>
      <c r="K230" s="67">
        <f>IF(AND(E230=Data!#REF!,Data!#REF!&lt;&gt;""),Data!#REF!,"")</f>
        <v>25569.041666666668</v>
      </c>
      <c r="L230" s="68">
        <f>IF(E230=Data!#REF!,Data!#REF!,"")</f>
      </c>
      <c r="M230" s="68">
        <f>IF(E230=Data!#REF!,Data!#REF!,"")</f>
      </c>
      <c r="N230" s="69">
        <f>IF(AND(Data!#REF!&lt;&gt;"",Data!#REF!="Accept&amp;#233;"),Data!#REF!,"")</f>
      </c>
    </row>
    <row x14ac:dyDescent="0.25" r="231" customHeight="1" ht="19.5" hidden="1">
      <c r="A231" s="62">
        <f>IF(AND(Data!#REF!&lt;&gt;"",Data!#REF!="Accept&amp;#233;"),Data!#REF!,"")</f>
      </c>
      <c r="B231" s="62">
        <f>IF(AND(Data!#REF!&lt;&gt;"",Data!#REF!="Accept&amp;#233;"),Data!#REF!,"")</f>
      </c>
      <c r="C231" s="63">
        <f>IF(D231&lt;&gt;"","S"&amp;TEXT(WEEKNUM(D231),"00"),"")</f>
      </c>
      <c r="D231" s="42">
        <f>IF(AND(Data!#REF!&lt;&gt;"",Data!#REF!="Accept&amp;#233;"),Data!#REF!,"")</f>
        <v>25569.041666666668</v>
      </c>
      <c r="E231" s="64">
        <f>IF(AND(Data!#REF!&lt;&gt;"",Data!#REF!="Accept&amp;#233;"),Data!#REF!,"")</f>
      </c>
      <c r="F231" s="65">
        <f>IF(AND(Data!#REF!&lt;&gt;"",Data!#REF!="Accept&amp;#233;"),Data!#REF!,"")</f>
      </c>
      <c r="G231" s="66">
        <f>IF(Data!#REF!='Delivery Plan'!E231,Data!#REF!,"")</f>
      </c>
      <c r="H231" s="53"/>
      <c r="I231" s="63">
        <f>IF(J231&lt;&gt;"","S"&amp;TEXT(WEEKNUM(J231),"00"),"")</f>
      </c>
      <c r="J231" s="42">
        <f>IF(AND(E231=Data!#REF!,Data!#REF!&lt;&gt;""),Data!#REF!,"")</f>
        <v>25569.041666666668</v>
      </c>
      <c r="K231" s="67">
        <f>IF(AND(E231=Data!#REF!,Data!#REF!&lt;&gt;""),Data!#REF!,"")</f>
        <v>25569.041666666668</v>
      </c>
      <c r="L231" s="68">
        <f>IF(E231=Data!#REF!,Data!#REF!,"")</f>
      </c>
      <c r="M231" s="68">
        <f>IF(E231=Data!#REF!,Data!#REF!,"")</f>
      </c>
      <c r="N231" s="69">
        <f>IF(AND(Data!#REF!&lt;&gt;"",Data!#REF!="Accept&amp;#233;"),Data!#REF!,"")</f>
      </c>
    </row>
    <row x14ac:dyDescent="0.25" r="232" customHeight="1" ht="19.5" hidden="1">
      <c r="A232" s="62">
        <f>IF(AND(Data!#REF!&lt;&gt;"",Data!#REF!="Accept&amp;#233;"),Data!#REF!,"")</f>
      </c>
      <c r="B232" s="62">
        <f>IF(AND(Data!#REF!&lt;&gt;"",Data!#REF!="Accept&amp;#233;"),Data!#REF!,"")</f>
      </c>
      <c r="C232" s="63">
        <f>IF(D232&lt;&gt;"","S"&amp;TEXT(WEEKNUM(D232),"00"),"")</f>
      </c>
      <c r="D232" s="42">
        <f>IF(AND(Data!#REF!&lt;&gt;"",Data!#REF!="Accept&amp;#233;"),Data!#REF!,"")</f>
        <v>25569.041666666668</v>
      </c>
      <c r="E232" s="64">
        <f>IF(AND(Data!#REF!&lt;&gt;"",Data!#REF!="Accept&amp;#233;"),Data!#REF!,"")</f>
      </c>
      <c r="F232" s="65">
        <f>IF(AND(Data!#REF!&lt;&gt;"",Data!#REF!="Accept&amp;#233;"),Data!#REF!,"")</f>
      </c>
      <c r="G232" s="66">
        <f>IF(Data!#REF!='Delivery Plan'!E232,Data!#REF!,"")</f>
      </c>
      <c r="H232" s="53"/>
      <c r="I232" s="63">
        <f>IF(J232&lt;&gt;"","S"&amp;TEXT(WEEKNUM(J232),"00"),"")</f>
      </c>
      <c r="J232" s="42">
        <f>IF(AND(E232=Data!#REF!,Data!#REF!&lt;&gt;""),Data!#REF!,"")</f>
        <v>25569.041666666668</v>
      </c>
      <c r="K232" s="67">
        <f>IF(AND(E232=Data!#REF!,Data!#REF!&lt;&gt;""),Data!#REF!,"")</f>
        <v>25569.041666666668</v>
      </c>
      <c r="L232" s="68">
        <f>IF(E232=Data!#REF!,Data!#REF!,"")</f>
      </c>
      <c r="M232" s="68">
        <f>IF(E232=Data!#REF!,Data!#REF!,"")</f>
      </c>
      <c r="N232" s="69">
        <f>IF(AND(Data!#REF!&lt;&gt;"",Data!#REF!="Accept&amp;#233;"),Data!#REF!,"")</f>
      </c>
    </row>
    <row x14ac:dyDescent="0.25" r="233" customHeight="1" ht="19.5" hidden="1">
      <c r="A233" s="62">
        <f>IF(AND(Data!#REF!&lt;&gt;"",Data!#REF!="Accept&amp;#233;"),Data!#REF!,"")</f>
      </c>
      <c r="B233" s="62">
        <f>IF(AND(Data!#REF!&lt;&gt;"",Data!#REF!="Accept&amp;#233;"),Data!#REF!,"")</f>
      </c>
      <c r="C233" s="63">
        <f>IF(D233&lt;&gt;"","S"&amp;TEXT(WEEKNUM(D233),"00"),"")</f>
      </c>
      <c r="D233" s="42">
        <f>IF(AND(Data!#REF!&lt;&gt;"",Data!#REF!="Accept&amp;#233;"),Data!#REF!,"")</f>
        <v>25569.041666666668</v>
      </c>
      <c r="E233" s="64">
        <f>IF(AND(Data!#REF!&lt;&gt;"",Data!#REF!="Accept&amp;#233;"),Data!#REF!,"")</f>
      </c>
      <c r="F233" s="65">
        <f>IF(AND(Data!#REF!&lt;&gt;"",Data!#REF!="Accept&amp;#233;"),Data!#REF!,"")</f>
      </c>
      <c r="G233" s="66">
        <f>IF(Data!#REF!='Delivery Plan'!E233,Data!#REF!,"")</f>
      </c>
      <c r="H233" s="53"/>
      <c r="I233" s="63">
        <f>IF(J233&lt;&gt;"","S"&amp;TEXT(WEEKNUM(J233),"00"),"")</f>
      </c>
      <c r="J233" s="42">
        <f>IF(AND(E233=Data!#REF!,Data!#REF!&lt;&gt;""),Data!#REF!,"")</f>
        <v>25569.041666666668</v>
      </c>
      <c r="K233" s="67">
        <f>IF(AND(E233=Data!#REF!,Data!#REF!&lt;&gt;""),Data!#REF!,"")</f>
        <v>25569.041666666668</v>
      </c>
      <c r="L233" s="68">
        <f>IF(E233=Data!#REF!,Data!#REF!,"")</f>
      </c>
      <c r="M233" s="68">
        <f>IF(E233=Data!#REF!,Data!#REF!,"")</f>
      </c>
      <c r="N233" s="69">
        <f>IF(AND(Data!#REF!&lt;&gt;"",Data!#REF!="Accept&amp;#233;"),Data!#REF!,"")</f>
      </c>
    </row>
    <row x14ac:dyDescent="0.25" r="234" customHeight="1" ht="19.5" hidden="1">
      <c r="A234" s="62">
        <f>IF(AND(Data!#REF!&lt;&gt;"",Data!#REF!="Accept&amp;#233;"),Data!#REF!,"")</f>
      </c>
      <c r="B234" s="62">
        <f>IF(AND(Data!#REF!&lt;&gt;"",Data!#REF!="Accept&amp;#233;"),Data!#REF!,"")</f>
      </c>
      <c r="C234" s="63">
        <f>IF(D234&lt;&gt;"","S"&amp;TEXT(WEEKNUM(D234),"00"),"")</f>
      </c>
      <c r="D234" s="42">
        <f>IF(AND(Data!#REF!&lt;&gt;"",Data!#REF!="Accept&amp;#233;"),Data!#REF!,"")</f>
        <v>25569.041666666668</v>
      </c>
      <c r="E234" s="64">
        <f>IF(AND(Data!#REF!&lt;&gt;"",Data!#REF!="Accept&amp;#233;"),Data!#REF!,"")</f>
      </c>
      <c r="F234" s="65">
        <f>IF(AND(Data!#REF!&lt;&gt;"",Data!#REF!="Accept&amp;#233;"),Data!#REF!,"")</f>
      </c>
      <c r="G234" s="66">
        <f>IF(Data!#REF!='Delivery Plan'!E234,Data!#REF!,"")</f>
      </c>
      <c r="H234" s="53"/>
      <c r="I234" s="63">
        <f>IF(J234&lt;&gt;"","S"&amp;TEXT(WEEKNUM(J234),"00"),"")</f>
      </c>
      <c r="J234" s="42">
        <f>IF(AND(E234=Data!#REF!,Data!#REF!&lt;&gt;""),Data!#REF!,"")</f>
        <v>25569.041666666668</v>
      </c>
      <c r="K234" s="67">
        <f>IF(AND(E234=Data!#REF!,Data!#REF!&lt;&gt;""),Data!#REF!,"")</f>
        <v>25569.041666666668</v>
      </c>
      <c r="L234" s="68">
        <f>IF(E234=Data!#REF!,Data!#REF!,"")</f>
      </c>
      <c r="M234" s="68">
        <f>IF(E234=Data!#REF!,Data!#REF!,"")</f>
      </c>
      <c r="N234" s="69">
        <f>IF(AND(Data!#REF!&lt;&gt;"",Data!#REF!="Accept&amp;#233;"),Data!#REF!,"")</f>
      </c>
    </row>
    <row x14ac:dyDescent="0.25" r="235" customHeight="1" ht="19.5" hidden="1">
      <c r="A235" s="62">
        <f>IF(AND(Data!#REF!&lt;&gt;"",Data!#REF!="Accept&amp;#233;"),Data!#REF!,"")</f>
      </c>
      <c r="B235" s="62">
        <f>IF(AND(Data!#REF!&lt;&gt;"",Data!#REF!="Accept&amp;#233;"),Data!#REF!,"")</f>
      </c>
      <c r="C235" s="63">
        <f>IF(D235&lt;&gt;"","S"&amp;TEXT(WEEKNUM(D235),"00"),"")</f>
      </c>
      <c r="D235" s="42">
        <f>IF(AND(Data!#REF!&lt;&gt;"",Data!#REF!="Accept&amp;#233;"),Data!#REF!,"")</f>
        <v>25569.041666666668</v>
      </c>
      <c r="E235" s="64">
        <f>IF(AND(Data!#REF!&lt;&gt;"",Data!#REF!="Accept&amp;#233;"),Data!#REF!,"")</f>
      </c>
      <c r="F235" s="65">
        <f>IF(AND(Data!#REF!&lt;&gt;"",Data!#REF!="Accept&amp;#233;"),Data!#REF!,"")</f>
      </c>
      <c r="G235" s="66">
        <f>IF(Data!#REF!='Delivery Plan'!E235,Data!#REF!,"")</f>
      </c>
      <c r="H235" s="53"/>
      <c r="I235" s="63">
        <f>IF(J235&lt;&gt;"","S"&amp;TEXT(WEEKNUM(J235),"00"),"")</f>
      </c>
      <c r="J235" s="42">
        <f>IF(AND(E235=Data!#REF!,Data!#REF!&lt;&gt;""),Data!#REF!,"")</f>
        <v>25569.041666666668</v>
      </c>
      <c r="K235" s="67">
        <f>IF(AND(E235=Data!#REF!,Data!#REF!&lt;&gt;""),Data!#REF!,"")</f>
        <v>25569.041666666668</v>
      </c>
      <c r="L235" s="68">
        <f>IF(E235=Data!#REF!,Data!#REF!,"")</f>
      </c>
      <c r="M235" s="68">
        <f>IF(E235=Data!#REF!,Data!#REF!,"")</f>
      </c>
      <c r="N235" s="69">
        <f>IF(AND(Data!#REF!&lt;&gt;"",Data!#REF!="Accept&amp;#233;"),Data!#REF!,"")</f>
      </c>
    </row>
    <row x14ac:dyDescent="0.25" r="236" customHeight="1" ht="19.5" hidden="1">
      <c r="A236" s="62">
        <f>IF(AND(Data!#REF!&lt;&gt;"",Data!#REF!="Accept&amp;#233;"),Data!#REF!,"")</f>
      </c>
      <c r="B236" s="62">
        <f>IF(AND(Data!#REF!&lt;&gt;"",Data!#REF!="Accept&amp;#233;"),Data!#REF!,"")</f>
      </c>
      <c r="C236" s="63">
        <f>IF(D236&lt;&gt;"","S"&amp;TEXT(WEEKNUM(D236),"00"),"")</f>
      </c>
      <c r="D236" s="42">
        <f>IF(AND(Data!#REF!&lt;&gt;"",Data!#REF!="Accept&amp;#233;"),Data!#REF!,"")</f>
        <v>25569.041666666668</v>
      </c>
      <c r="E236" s="64">
        <f>IF(AND(Data!#REF!&lt;&gt;"",Data!#REF!="Accept&amp;#233;"),Data!#REF!,"")</f>
      </c>
      <c r="F236" s="65">
        <f>IF(AND(Data!#REF!&lt;&gt;"",Data!#REF!="Accept&amp;#233;"),Data!#REF!,"")</f>
      </c>
      <c r="G236" s="66">
        <f>IF(Data!#REF!='Delivery Plan'!E236,Data!#REF!,"")</f>
      </c>
      <c r="H236" s="53"/>
      <c r="I236" s="63">
        <f>IF(J236&lt;&gt;"","S"&amp;TEXT(WEEKNUM(J236),"00"),"")</f>
      </c>
      <c r="J236" s="42">
        <f>IF(AND(E236=Data!#REF!,Data!#REF!&lt;&gt;""),Data!#REF!,"")</f>
        <v>25569.041666666668</v>
      </c>
      <c r="K236" s="67">
        <f>IF(AND(E236=Data!#REF!,Data!#REF!&lt;&gt;""),Data!#REF!,"")</f>
        <v>25569.041666666668</v>
      </c>
      <c r="L236" s="68">
        <f>IF(E236=Data!#REF!,Data!#REF!,"")</f>
      </c>
      <c r="M236" s="68">
        <f>IF(E236=Data!#REF!,Data!#REF!,"")</f>
      </c>
      <c r="N236" s="69">
        <f>IF(AND(Data!#REF!&lt;&gt;"",Data!#REF!="Accept&amp;#233;"),Data!#REF!,"")</f>
      </c>
    </row>
    <row x14ac:dyDescent="0.25" r="237" customHeight="1" ht="19.5" hidden="1">
      <c r="A237" s="62">
        <f>IF(AND(Data!#REF!&lt;&gt;"",Data!#REF!="Accept&amp;#233;"),Data!#REF!,"")</f>
      </c>
      <c r="B237" s="62">
        <f>IF(AND(Data!#REF!&lt;&gt;"",Data!#REF!="Accept&amp;#233;"),Data!#REF!,"")</f>
      </c>
      <c r="C237" s="63">
        <f>IF(D237&lt;&gt;"","S"&amp;TEXT(WEEKNUM(D237),"00"),"")</f>
      </c>
      <c r="D237" s="42">
        <f>IF(AND(Data!#REF!&lt;&gt;"",Data!#REF!="Accept&amp;#233;"),Data!#REF!,"")</f>
        <v>25569.041666666668</v>
      </c>
      <c r="E237" s="64">
        <f>IF(AND(Data!#REF!&lt;&gt;"",Data!#REF!="Accept&amp;#233;"),Data!#REF!,"")</f>
      </c>
      <c r="F237" s="65">
        <f>IF(AND(Data!#REF!&lt;&gt;"",Data!#REF!="Accept&amp;#233;"),Data!#REF!,"")</f>
      </c>
      <c r="G237" s="66">
        <f>IF(Data!#REF!='Delivery Plan'!E237,Data!#REF!,"")</f>
      </c>
      <c r="H237" s="53"/>
      <c r="I237" s="63">
        <f>IF(J237&lt;&gt;"","S"&amp;TEXT(WEEKNUM(J237),"00"),"")</f>
      </c>
      <c r="J237" s="42">
        <f>IF(AND(E237=Data!#REF!,Data!#REF!&lt;&gt;""),Data!#REF!,"")</f>
        <v>25569.041666666668</v>
      </c>
      <c r="K237" s="67">
        <f>IF(AND(E237=Data!#REF!,Data!#REF!&lt;&gt;""),Data!#REF!,"")</f>
        <v>25569.041666666668</v>
      </c>
      <c r="L237" s="68">
        <f>IF(E237=Data!#REF!,Data!#REF!,"")</f>
      </c>
      <c r="M237" s="68">
        <f>IF(E237=Data!#REF!,Data!#REF!,"")</f>
      </c>
      <c r="N237" s="69">
        <f>IF(AND(Data!#REF!&lt;&gt;"",Data!#REF!="Accept&amp;#233;"),Data!#REF!,"")</f>
      </c>
    </row>
    <row x14ac:dyDescent="0.25" r="238" customHeight="1" ht="19.5" hidden="1">
      <c r="A238" s="62">
        <f>IF(AND(Data!#REF!&lt;&gt;"",Data!#REF!="Accept&amp;#233;"),Data!#REF!,"")</f>
      </c>
      <c r="B238" s="62">
        <f>IF(AND(Data!#REF!&lt;&gt;"",Data!#REF!="Accept&amp;#233;"),Data!#REF!,"")</f>
      </c>
      <c r="C238" s="63">
        <f>IF(D238&lt;&gt;"","S"&amp;TEXT(WEEKNUM(D238),"00"),"")</f>
      </c>
      <c r="D238" s="42">
        <f>IF(AND(Data!#REF!&lt;&gt;"",Data!#REF!="Accept&amp;#233;"),Data!#REF!,"")</f>
        <v>25569.041666666668</v>
      </c>
      <c r="E238" s="64">
        <f>IF(AND(Data!#REF!&lt;&gt;"",Data!#REF!="Accept&amp;#233;"),Data!#REF!,"")</f>
      </c>
      <c r="F238" s="65">
        <f>IF(AND(Data!#REF!&lt;&gt;"",Data!#REF!="Accept&amp;#233;"),Data!#REF!,"")</f>
      </c>
      <c r="G238" s="66">
        <f>IF(Data!#REF!='Delivery Plan'!E238,Data!#REF!,"")</f>
      </c>
      <c r="H238" s="53"/>
      <c r="I238" s="63">
        <f>IF(J238&lt;&gt;"","S"&amp;TEXT(WEEKNUM(J238),"00"),"")</f>
      </c>
      <c r="J238" s="42">
        <f>IF(AND(E238=Data!#REF!,Data!#REF!&lt;&gt;""),Data!#REF!,"")</f>
        <v>25569.041666666668</v>
      </c>
      <c r="K238" s="67">
        <f>IF(AND(E238=Data!#REF!,Data!#REF!&lt;&gt;""),Data!#REF!,"")</f>
        <v>25569.041666666668</v>
      </c>
      <c r="L238" s="68">
        <f>IF(E238=Data!#REF!,Data!#REF!,"")</f>
      </c>
      <c r="M238" s="68">
        <f>IF(E238=Data!#REF!,Data!#REF!,"")</f>
      </c>
      <c r="N238" s="69">
        <f>IF(AND(Data!#REF!&lt;&gt;"",Data!#REF!="Accept&amp;#233;"),Data!#REF!,"")</f>
      </c>
    </row>
    <row x14ac:dyDescent="0.25" r="239" customHeight="1" ht="19.5" hidden="1">
      <c r="A239" s="62">
        <f>IF(AND(Data!#REF!&lt;&gt;"",Data!#REF!="Accept&amp;#233;"),Data!#REF!,"")</f>
      </c>
      <c r="B239" s="62">
        <f>IF(AND(Data!#REF!&lt;&gt;"",Data!#REF!="Accept&amp;#233;"),Data!#REF!,"")</f>
      </c>
      <c r="C239" s="63">
        <f>IF(D239&lt;&gt;"","S"&amp;TEXT(WEEKNUM(D239),"00"),"")</f>
      </c>
      <c r="D239" s="42">
        <f>IF(AND(Data!#REF!&lt;&gt;"",Data!#REF!="Accept&amp;#233;"),Data!#REF!,"")</f>
        <v>25569.041666666668</v>
      </c>
      <c r="E239" s="64">
        <f>IF(AND(Data!#REF!&lt;&gt;"",Data!#REF!="Accept&amp;#233;"),Data!#REF!,"")</f>
      </c>
      <c r="F239" s="65">
        <f>IF(AND(Data!#REF!&lt;&gt;"",Data!#REF!="Accept&amp;#233;"),Data!#REF!,"")</f>
      </c>
      <c r="G239" s="66">
        <f>IF(Data!#REF!='Delivery Plan'!E239,Data!#REF!,"")</f>
      </c>
      <c r="H239" s="53"/>
      <c r="I239" s="63">
        <f>IF(J239&lt;&gt;"","S"&amp;TEXT(WEEKNUM(J239),"00"),"")</f>
      </c>
      <c r="J239" s="42">
        <f>IF(AND(E239=Data!#REF!,Data!#REF!&lt;&gt;""),Data!#REF!,"")</f>
        <v>25569.041666666668</v>
      </c>
      <c r="K239" s="67">
        <f>IF(AND(E239=Data!#REF!,Data!#REF!&lt;&gt;""),Data!#REF!,"")</f>
        <v>25569.041666666668</v>
      </c>
      <c r="L239" s="68">
        <f>IF(E239=Data!#REF!,Data!#REF!,"")</f>
      </c>
      <c r="M239" s="68">
        <f>IF(E239=Data!#REF!,Data!#REF!,"")</f>
      </c>
      <c r="N239" s="69">
        <f>IF(AND(Data!#REF!&lt;&gt;"",Data!#REF!="Accept&amp;#233;"),Data!#REF!,"")</f>
      </c>
    </row>
    <row x14ac:dyDescent="0.25" r="240" customHeight="1" ht="19.5" hidden="1">
      <c r="A240" s="62">
        <f>IF(AND(Data!#REF!&lt;&gt;"",Data!#REF!="Accept&amp;#233;"),Data!#REF!,"")</f>
      </c>
      <c r="B240" s="62">
        <f>IF(AND(Data!#REF!&lt;&gt;"",Data!#REF!="Accept&amp;#233;"),Data!#REF!,"")</f>
      </c>
      <c r="C240" s="63">
        <f>IF(D240&lt;&gt;"","S"&amp;TEXT(WEEKNUM(D240),"00"),"")</f>
      </c>
      <c r="D240" s="42">
        <f>IF(AND(Data!#REF!&lt;&gt;"",Data!#REF!="Accept&amp;#233;"),Data!#REF!,"")</f>
        <v>25569.041666666668</v>
      </c>
      <c r="E240" s="64">
        <f>IF(AND(Data!#REF!&lt;&gt;"",Data!#REF!="Accept&amp;#233;"),Data!#REF!,"")</f>
      </c>
      <c r="F240" s="65">
        <f>IF(AND(Data!#REF!&lt;&gt;"",Data!#REF!="Accept&amp;#233;"),Data!#REF!,"")</f>
      </c>
      <c r="G240" s="66">
        <f>IF(Data!#REF!='Delivery Plan'!E240,Data!#REF!,"")</f>
      </c>
      <c r="H240" s="53"/>
      <c r="I240" s="63">
        <f>IF(J240&lt;&gt;"","S"&amp;TEXT(WEEKNUM(J240),"00"),"")</f>
      </c>
      <c r="J240" s="42">
        <f>IF(AND(E240=Data!#REF!,Data!#REF!&lt;&gt;""),Data!#REF!,"")</f>
        <v>25569.041666666668</v>
      </c>
      <c r="K240" s="67">
        <f>IF(AND(E240=Data!#REF!,Data!#REF!&lt;&gt;""),Data!#REF!,"")</f>
        <v>25569.041666666668</v>
      </c>
      <c r="L240" s="68">
        <f>IF(E240=Data!#REF!,Data!#REF!,"")</f>
      </c>
      <c r="M240" s="68">
        <f>IF(E240=Data!#REF!,Data!#REF!,"")</f>
      </c>
      <c r="N240" s="69">
        <f>IF(AND(Data!#REF!&lt;&gt;"",Data!#REF!="Accept&amp;#233;"),Data!#REF!,"")</f>
      </c>
    </row>
    <row x14ac:dyDescent="0.25" r="241" customHeight="1" ht="19.5" hidden="1">
      <c r="A241" s="62">
        <f>IF(AND(Data!#REF!&lt;&gt;"",Data!#REF!="Accept&amp;#233;"),Data!#REF!,"")</f>
      </c>
      <c r="B241" s="62">
        <f>IF(AND(Data!#REF!&lt;&gt;"",Data!#REF!="Accept&amp;#233;"),Data!#REF!,"")</f>
      </c>
      <c r="C241" s="63">
        <f>IF(D241&lt;&gt;"","S"&amp;TEXT(WEEKNUM(D241),"00"),"")</f>
      </c>
      <c r="D241" s="42">
        <f>IF(AND(Data!#REF!&lt;&gt;"",Data!#REF!="Accept&amp;#233;"),Data!#REF!,"")</f>
        <v>25569.041666666668</v>
      </c>
      <c r="E241" s="64">
        <f>IF(AND(Data!#REF!&lt;&gt;"",Data!#REF!="Accept&amp;#233;"),Data!#REF!,"")</f>
      </c>
      <c r="F241" s="65">
        <f>IF(AND(Data!#REF!&lt;&gt;"",Data!#REF!="Accept&amp;#233;"),Data!#REF!,"")</f>
      </c>
      <c r="G241" s="66">
        <f>IF(Data!#REF!='Delivery Plan'!E241,Data!#REF!,"")</f>
      </c>
      <c r="H241" s="53"/>
      <c r="I241" s="63">
        <f>IF(J241&lt;&gt;"","S"&amp;TEXT(WEEKNUM(J241),"00"),"")</f>
      </c>
      <c r="J241" s="42">
        <f>IF(AND(E241=Data!#REF!,Data!#REF!&lt;&gt;""),Data!#REF!,"")</f>
        <v>25569.041666666668</v>
      </c>
      <c r="K241" s="67">
        <f>IF(AND(E241=Data!#REF!,Data!#REF!&lt;&gt;""),Data!#REF!,"")</f>
        <v>25569.041666666668</v>
      </c>
      <c r="L241" s="68">
        <f>IF(E241=Data!#REF!,Data!#REF!,"")</f>
      </c>
      <c r="M241" s="68">
        <f>IF(E241=Data!#REF!,Data!#REF!,"")</f>
      </c>
      <c r="N241" s="69">
        <f>IF(AND(Data!#REF!&lt;&gt;"",Data!#REF!="Accept&amp;#233;"),Data!#REF!,"")</f>
      </c>
    </row>
    <row x14ac:dyDescent="0.25" r="242" customHeight="1" ht="19.5" hidden="1">
      <c r="A242" s="62">
        <f>IF(AND(Data!#REF!&lt;&gt;"",Data!#REF!="Accept&amp;#233;"),Data!#REF!,"")</f>
      </c>
      <c r="B242" s="62">
        <f>IF(AND(Data!#REF!&lt;&gt;"",Data!#REF!="Accept&amp;#233;"),Data!#REF!,"")</f>
      </c>
      <c r="C242" s="63">
        <f>IF(D242&lt;&gt;"","S"&amp;TEXT(WEEKNUM(D242),"00"),"")</f>
      </c>
      <c r="D242" s="42">
        <f>IF(AND(Data!#REF!&lt;&gt;"",Data!#REF!="Accept&amp;#233;"),Data!#REF!,"")</f>
        <v>25569.041666666668</v>
      </c>
      <c r="E242" s="64">
        <f>IF(AND(Data!#REF!&lt;&gt;"",Data!#REF!="Accept&amp;#233;"),Data!#REF!,"")</f>
      </c>
      <c r="F242" s="65">
        <f>IF(AND(Data!#REF!&lt;&gt;"",Data!#REF!="Accept&amp;#233;"),Data!#REF!,"")</f>
      </c>
      <c r="G242" s="66">
        <f>IF(Data!#REF!='Delivery Plan'!E242,Data!#REF!,"")</f>
      </c>
      <c r="H242" s="53"/>
      <c r="I242" s="63">
        <f>IF(J242&lt;&gt;"","S"&amp;TEXT(WEEKNUM(J242),"00"),"")</f>
      </c>
      <c r="J242" s="42">
        <f>IF(AND(E242=Data!#REF!,Data!#REF!&lt;&gt;""),Data!#REF!,"")</f>
        <v>25569.041666666668</v>
      </c>
      <c r="K242" s="67">
        <f>IF(AND(E242=Data!#REF!,Data!#REF!&lt;&gt;""),Data!#REF!,"")</f>
        <v>25569.041666666668</v>
      </c>
      <c r="L242" s="68">
        <f>IF(E242=Data!#REF!,Data!#REF!,"")</f>
      </c>
      <c r="M242" s="68">
        <f>IF(E242=Data!#REF!,Data!#REF!,"")</f>
      </c>
      <c r="N242" s="69">
        <f>IF(AND(Data!#REF!&lt;&gt;"",Data!#REF!="Accept&amp;#233;"),Data!#REF!,"")</f>
      </c>
    </row>
    <row x14ac:dyDescent="0.25" r="243" customHeight="1" ht="19.5" hidden="1">
      <c r="A243" s="62">
        <f>IF(AND(Data!#REF!&lt;&gt;"",Data!#REF!="Accept&amp;#233;"),Data!#REF!,"")</f>
      </c>
      <c r="B243" s="62">
        <f>IF(AND(Data!#REF!&lt;&gt;"",Data!#REF!="Accept&amp;#233;"),Data!#REF!,"")</f>
      </c>
      <c r="C243" s="63">
        <f>IF(D243&lt;&gt;"","S"&amp;TEXT(WEEKNUM(D243),"00"),"")</f>
      </c>
      <c r="D243" s="42">
        <f>IF(AND(Data!#REF!&lt;&gt;"",Data!#REF!="Accept&amp;#233;"),Data!#REF!,"")</f>
        <v>25569.041666666668</v>
      </c>
      <c r="E243" s="64">
        <f>IF(AND(Data!#REF!&lt;&gt;"",Data!#REF!="Accept&amp;#233;"),Data!#REF!,"")</f>
      </c>
      <c r="F243" s="65">
        <f>IF(AND(Data!#REF!&lt;&gt;"",Data!#REF!="Accept&amp;#233;"),Data!#REF!,"")</f>
      </c>
      <c r="G243" s="66">
        <f>IF(Data!#REF!='Delivery Plan'!E243,Data!#REF!,"")</f>
      </c>
      <c r="H243" s="53"/>
      <c r="I243" s="63">
        <f>IF(J243&lt;&gt;"","S"&amp;TEXT(WEEKNUM(J243),"00"),"")</f>
      </c>
      <c r="J243" s="42">
        <f>IF(AND(E243=Data!#REF!,Data!#REF!&lt;&gt;""),Data!#REF!,"")</f>
        <v>25569.041666666668</v>
      </c>
      <c r="K243" s="67">
        <f>IF(AND(E243=Data!#REF!,Data!#REF!&lt;&gt;""),Data!#REF!,"")</f>
        <v>25569.041666666668</v>
      </c>
      <c r="L243" s="68">
        <f>IF(E243=Data!#REF!,Data!#REF!,"")</f>
      </c>
      <c r="M243" s="68">
        <f>IF(E243=Data!#REF!,Data!#REF!,"")</f>
      </c>
      <c r="N243" s="69">
        <f>IF(AND(Data!#REF!&lt;&gt;"",Data!#REF!="Accept&amp;#233;"),Data!#REF!,"")</f>
      </c>
    </row>
    <row x14ac:dyDescent="0.25" r="244" customHeight="1" ht="19.5" hidden="1">
      <c r="A244" s="62">
        <f>IF(AND(Data!#REF!&lt;&gt;"",Data!#REF!="Accept&amp;#233;"),Data!#REF!,"")</f>
      </c>
      <c r="B244" s="62">
        <f>IF(AND(Data!#REF!&lt;&gt;"",Data!#REF!="Accept&amp;#233;"),Data!#REF!,"")</f>
      </c>
      <c r="C244" s="63">
        <f>IF(D244&lt;&gt;"","S"&amp;TEXT(WEEKNUM(D244),"00"),"")</f>
      </c>
      <c r="D244" s="42">
        <f>IF(AND(Data!#REF!&lt;&gt;"",Data!#REF!="Accept&amp;#233;"),Data!#REF!,"")</f>
        <v>25569.041666666668</v>
      </c>
      <c r="E244" s="64">
        <f>IF(AND(Data!#REF!&lt;&gt;"",Data!#REF!="Accept&amp;#233;"),Data!#REF!,"")</f>
      </c>
      <c r="F244" s="65">
        <f>IF(AND(Data!#REF!&lt;&gt;"",Data!#REF!="Accept&amp;#233;"),Data!#REF!,"")</f>
      </c>
      <c r="G244" s="66">
        <f>IF(Data!#REF!='Delivery Plan'!E244,Data!#REF!,"")</f>
      </c>
      <c r="H244" s="53"/>
      <c r="I244" s="63">
        <f>IF(J244&lt;&gt;"","S"&amp;TEXT(WEEKNUM(J244),"00"),"")</f>
      </c>
      <c r="J244" s="42">
        <f>IF(AND(E244=Data!#REF!,Data!#REF!&lt;&gt;""),Data!#REF!,"")</f>
        <v>25569.041666666668</v>
      </c>
      <c r="K244" s="67">
        <f>IF(AND(E244=Data!#REF!,Data!#REF!&lt;&gt;""),Data!#REF!,"")</f>
        <v>25569.041666666668</v>
      </c>
      <c r="L244" s="68">
        <f>IF(E244=Data!#REF!,Data!#REF!,"")</f>
      </c>
      <c r="M244" s="68">
        <f>IF(E244=Data!#REF!,Data!#REF!,"")</f>
      </c>
      <c r="N244" s="69">
        <f>IF(AND(Data!#REF!&lt;&gt;"",Data!#REF!="Accept&amp;#233;"),Data!#REF!,"")</f>
      </c>
    </row>
    <row x14ac:dyDescent="0.25" r="245" customHeight="1" ht="19.5" hidden="1">
      <c r="A245" s="62">
        <f>IF(AND(Data!#REF!&lt;&gt;"",Data!#REF!="Accept&amp;#233;"),Data!#REF!,"")</f>
      </c>
      <c r="B245" s="62">
        <f>IF(AND(Data!#REF!&lt;&gt;"",Data!#REF!="Accept&amp;#233;"),Data!#REF!,"")</f>
      </c>
      <c r="C245" s="63">
        <f>IF(D245&lt;&gt;"","S"&amp;TEXT(WEEKNUM(D245),"00"),"")</f>
      </c>
      <c r="D245" s="42">
        <f>IF(AND(Data!#REF!&lt;&gt;"",Data!#REF!="Accept&amp;#233;"),Data!#REF!,"")</f>
        <v>25569.041666666668</v>
      </c>
      <c r="E245" s="64">
        <f>IF(AND(Data!#REF!&lt;&gt;"",Data!#REF!="Accept&amp;#233;"),Data!#REF!,"")</f>
      </c>
      <c r="F245" s="65">
        <f>IF(AND(Data!#REF!&lt;&gt;"",Data!#REF!="Accept&amp;#233;"),Data!#REF!,"")</f>
      </c>
      <c r="G245" s="66">
        <f>IF(Data!#REF!='Delivery Plan'!E245,Data!#REF!,"")</f>
      </c>
      <c r="H245" s="53"/>
      <c r="I245" s="63">
        <f>IF(J245&lt;&gt;"","S"&amp;TEXT(WEEKNUM(J245),"00"),"")</f>
      </c>
      <c r="J245" s="42">
        <f>IF(AND(E245=Data!#REF!,Data!#REF!&lt;&gt;""),Data!#REF!,"")</f>
        <v>25569.041666666668</v>
      </c>
      <c r="K245" s="67">
        <f>IF(AND(E245=Data!#REF!,Data!#REF!&lt;&gt;""),Data!#REF!,"")</f>
        <v>25569.041666666668</v>
      </c>
      <c r="L245" s="68">
        <f>IF(E245=Data!#REF!,Data!#REF!,"")</f>
      </c>
      <c r="M245" s="68">
        <f>IF(E245=Data!#REF!,Data!#REF!,"")</f>
      </c>
      <c r="N245" s="69">
        <f>IF(AND(Data!#REF!&lt;&gt;"",Data!#REF!="Accept&amp;#233;"),Data!#REF!,"")</f>
      </c>
    </row>
    <row x14ac:dyDescent="0.25" r="246" customHeight="1" ht="19.5" hidden="1">
      <c r="A246" s="62">
        <f>IF(AND(Data!#REF!&lt;&gt;"",Data!#REF!="Accept&amp;#233;"),Data!#REF!,"")</f>
      </c>
      <c r="B246" s="62">
        <f>IF(AND(Data!#REF!&lt;&gt;"",Data!#REF!="Accept&amp;#233;"),Data!#REF!,"")</f>
      </c>
      <c r="C246" s="63">
        <f>IF(D246&lt;&gt;"","S"&amp;TEXT(WEEKNUM(D246),"00"),"")</f>
      </c>
      <c r="D246" s="42">
        <f>IF(AND(Data!#REF!&lt;&gt;"",Data!#REF!="Accept&amp;#233;"),Data!#REF!,"")</f>
        <v>25569.041666666668</v>
      </c>
      <c r="E246" s="64">
        <f>IF(AND(Data!#REF!&lt;&gt;"",Data!#REF!="Accept&amp;#233;"),Data!#REF!,"")</f>
      </c>
      <c r="F246" s="65">
        <f>IF(AND(Data!#REF!&lt;&gt;"",Data!#REF!="Accept&amp;#233;"),Data!#REF!,"")</f>
      </c>
      <c r="G246" s="66">
        <f>IF(Data!#REF!='Delivery Plan'!E246,Data!#REF!,"")</f>
      </c>
      <c r="H246" s="53"/>
      <c r="I246" s="63">
        <f>IF(J246&lt;&gt;"","S"&amp;TEXT(WEEKNUM(J246),"00"),"")</f>
      </c>
      <c r="J246" s="42">
        <f>IF(AND(E246=Data!#REF!,Data!#REF!&lt;&gt;""),Data!#REF!,"")</f>
        <v>25569.041666666668</v>
      </c>
      <c r="K246" s="67">
        <f>IF(AND(E246=Data!#REF!,Data!#REF!&lt;&gt;""),Data!#REF!,"")</f>
        <v>25569.041666666668</v>
      </c>
      <c r="L246" s="68">
        <f>IF(E246=Data!#REF!,Data!#REF!,"")</f>
      </c>
      <c r="M246" s="68">
        <f>IF(E246=Data!#REF!,Data!#REF!,"")</f>
      </c>
      <c r="N246" s="69">
        <f>IF(AND(Data!#REF!&lt;&gt;"",Data!#REF!="Accept&amp;#233;"),Data!#REF!,"")</f>
      </c>
    </row>
    <row x14ac:dyDescent="0.25" r="247" customHeight="1" ht="19.5" hidden="1">
      <c r="A247" s="62">
        <f>IF(AND(Data!#REF!&lt;&gt;"",Data!#REF!="Accept&amp;#233;"),Data!#REF!,"")</f>
      </c>
      <c r="B247" s="62">
        <f>IF(AND(Data!#REF!&lt;&gt;"",Data!#REF!="Accept&amp;#233;"),Data!#REF!,"")</f>
      </c>
      <c r="C247" s="63">
        <f>IF(D247&lt;&gt;"","S"&amp;TEXT(WEEKNUM(D247),"00"),"")</f>
      </c>
      <c r="D247" s="42">
        <f>IF(AND(Data!#REF!&lt;&gt;"",Data!#REF!="Accept&amp;#233;"),Data!#REF!,"")</f>
        <v>25569.041666666668</v>
      </c>
      <c r="E247" s="64">
        <f>IF(AND(Data!#REF!&lt;&gt;"",Data!#REF!="Accept&amp;#233;"),Data!#REF!,"")</f>
      </c>
      <c r="F247" s="65">
        <f>IF(AND(Data!#REF!&lt;&gt;"",Data!#REF!="Accept&amp;#233;"),Data!#REF!,"")</f>
      </c>
      <c r="G247" s="66">
        <f>IF(Data!#REF!='Delivery Plan'!E247,Data!#REF!,"")</f>
      </c>
      <c r="H247" s="53"/>
      <c r="I247" s="63">
        <f>IF(J247&lt;&gt;"","S"&amp;TEXT(WEEKNUM(J247),"00"),"")</f>
      </c>
      <c r="J247" s="42">
        <f>IF(AND(E247=Data!#REF!,Data!#REF!&lt;&gt;""),Data!#REF!,"")</f>
        <v>25569.041666666668</v>
      </c>
      <c r="K247" s="67">
        <f>IF(AND(E247=Data!#REF!,Data!#REF!&lt;&gt;""),Data!#REF!,"")</f>
        <v>25569.041666666668</v>
      </c>
      <c r="L247" s="68">
        <f>IF(E247=Data!#REF!,Data!#REF!,"")</f>
      </c>
      <c r="M247" s="68">
        <f>IF(E247=Data!#REF!,Data!#REF!,"")</f>
      </c>
      <c r="N247" s="69">
        <f>IF(AND(Data!#REF!&lt;&gt;"",Data!#REF!="Accept&amp;#233;"),Data!#REF!,"")</f>
      </c>
    </row>
    <row x14ac:dyDescent="0.25" r="248" customHeight="1" ht="19.5" hidden="1">
      <c r="A248" s="62">
        <f>IF(AND(Data!#REF!&lt;&gt;"",Data!#REF!="Accept&amp;#233;"),Data!#REF!,"")</f>
      </c>
      <c r="B248" s="62">
        <f>IF(AND(Data!#REF!&lt;&gt;"",Data!#REF!="Accept&amp;#233;"),Data!#REF!,"")</f>
      </c>
      <c r="C248" s="63">
        <f>IF(D248&lt;&gt;"","S"&amp;TEXT(WEEKNUM(D248),"00"),"")</f>
      </c>
      <c r="D248" s="42">
        <f>IF(AND(Data!#REF!&lt;&gt;"",Data!#REF!="Accept&amp;#233;"),Data!#REF!,"")</f>
        <v>25569.041666666668</v>
      </c>
      <c r="E248" s="64">
        <f>IF(AND(Data!#REF!&lt;&gt;"",Data!#REF!="Accept&amp;#233;"),Data!#REF!,"")</f>
      </c>
      <c r="F248" s="65">
        <f>IF(AND(Data!#REF!&lt;&gt;"",Data!#REF!="Accept&amp;#233;"),Data!#REF!,"")</f>
      </c>
      <c r="G248" s="66">
        <f>IF(Data!#REF!='Delivery Plan'!E248,Data!#REF!,"")</f>
      </c>
      <c r="H248" s="53"/>
      <c r="I248" s="63">
        <f>IF(J248&lt;&gt;"","S"&amp;TEXT(WEEKNUM(J248),"00"),"")</f>
      </c>
      <c r="J248" s="42">
        <f>IF(AND(E248=Data!#REF!,Data!#REF!&lt;&gt;""),Data!#REF!,"")</f>
        <v>25569.041666666668</v>
      </c>
      <c r="K248" s="67">
        <f>IF(AND(E248=Data!#REF!,Data!#REF!&lt;&gt;""),Data!#REF!,"")</f>
        <v>25569.041666666668</v>
      </c>
      <c r="L248" s="68">
        <f>IF(E248=Data!#REF!,Data!#REF!,"")</f>
      </c>
      <c r="M248" s="68">
        <f>IF(E248=Data!#REF!,Data!#REF!,"")</f>
      </c>
      <c r="N248" s="69">
        <f>IF(AND(Data!#REF!&lt;&gt;"",Data!#REF!="Accept&amp;#233;"),Data!#REF!,"")</f>
      </c>
    </row>
    <row x14ac:dyDescent="0.25" r="249" customHeight="1" ht="19.5" hidden="1">
      <c r="A249" s="62">
        <f>IF(AND(Data!#REF!&lt;&gt;"",Data!#REF!="Accept&amp;#233;"),Data!#REF!,"")</f>
      </c>
      <c r="B249" s="62">
        <f>IF(AND(Data!#REF!&lt;&gt;"",Data!#REF!="Accept&amp;#233;"),Data!#REF!,"")</f>
      </c>
      <c r="C249" s="63">
        <f>IF(D249&lt;&gt;"","S"&amp;TEXT(WEEKNUM(D249),"00"),"")</f>
      </c>
      <c r="D249" s="42">
        <f>IF(AND(Data!#REF!&lt;&gt;"",Data!#REF!="Accept&amp;#233;"),Data!#REF!,"")</f>
        <v>25569.041666666668</v>
      </c>
      <c r="E249" s="64">
        <f>IF(AND(Data!#REF!&lt;&gt;"",Data!#REF!="Accept&amp;#233;"),Data!#REF!,"")</f>
      </c>
      <c r="F249" s="65">
        <f>IF(AND(Data!#REF!&lt;&gt;"",Data!#REF!="Accept&amp;#233;"),Data!#REF!,"")</f>
      </c>
      <c r="G249" s="66">
        <f>IF(Data!#REF!='Delivery Plan'!E249,Data!#REF!,"")</f>
      </c>
      <c r="H249" s="53"/>
      <c r="I249" s="63">
        <f>IF(J249&lt;&gt;"","S"&amp;TEXT(WEEKNUM(J249),"00"),"")</f>
      </c>
      <c r="J249" s="42">
        <f>IF(AND(E249=Data!#REF!,Data!#REF!&lt;&gt;""),Data!#REF!,"")</f>
        <v>25569.041666666668</v>
      </c>
      <c r="K249" s="67">
        <f>IF(AND(E249=Data!#REF!,Data!#REF!&lt;&gt;""),Data!#REF!,"")</f>
        <v>25569.041666666668</v>
      </c>
      <c r="L249" s="68">
        <f>IF(E249=Data!#REF!,Data!#REF!,"")</f>
      </c>
      <c r="M249" s="68">
        <f>IF(E249=Data!#REF!,Data!#REF!,"")</f>
      </c>
      <c r="N249" s="69">
        <f>IF(AND(Data!#REF!&lt;&gt;"",Data!#REF!="Accept&amp;#233;"),Data!#REF!,"")</f>
      </c>
    </row>
    <row x14ac:dyDescent="0.25" r="250" customHeight="1" ht="19.5" hidden="1">
      <c r="A250" s="62">
        <f>IF(AND(Data!#REF!&lt;&gt;"",Data!#REF!="Accept&amp;#233;"),Data!#REF!,"")</f>
      </c>
      <c r="B250" s="62">
        <f>IF(AND(Data!#REF!&lt;&gt;"",Data!#REF!="Accept&amp;#233;"),Data!#REF!,"")</f>
      </c>
      <c r="C250" s="63">
        <f>IF(D250&lt;&gt;"","S"&amp;TEXT(WEEKNUM(D250),"00"),"")</f>
      </c>
      <c r="D250" s="42">
        <f>IF(AND(Data!#REF!&lt;&gt;"",Data!#REF!="Accept&amp;#233;"),Data!#REF!,"")</f>
        <v>25569.041666666668</v>
      </c>
      <c r="E250" s="64">
        <f>IF(AND(Data!#REF!&lt;&gt;"",Data!#REF!="Accept&amp;#233;"),Data!#REF!,"")</f>
      </c>
      <c r="F250" s="65">
        <f>IF(AND(Data!#REF!&lt;&gt;"",Data!#REF!="Accept&amp;#233;"),Data!#REF!,"")</f>
      </c>
      <c r="G250" s="66">
        <f>IF(Data!#REF!='Delivery Plan'!E250,Data!#REF!,"")</f>
      </c>
      <c r="H250" s="53"/>
      <c r="I250" s="63">
        <f>IF(J250&lt;&gt;"","S"&amp;TEXT(WEEKNUM(J250),"00"),"")</f>
      </c>
      <c r="J250" s="42">
        <f>IF(AND(E250=Data!#REF!,Data!#REF!&lt;&gt;""),Data!#REF!,"")</f>
        <v>25569.041666666668</v>
      </c>
      <c r="K250" s="67">
        <f>IF(AND(E250=Data!#REF!,Data!#REF!&lt;&gt;""),Data!#REF!,"")</f>
        <v>25569.041666666668</v>
      </c>
      <c r="L250" s="68">
        <f>IF(E250=Data!#REF!,Data!#REF!,"")</f>
      </c>
      <c r="M250" s="68">
        <f>IF(E250=Data!#REF!,Data!#REF!,"")</f>
      </c>
      <c r="N250" s="69">
        <f>IF(AND(Data!#REF!&lt;&gt;"",Data!#REF!="Accept&amp;#233;"),Data!#REF!,"")</f>
      </c>
    </row>
    <row x14ac:dyDescent="0.25" r="251" customHeight="1" ht="19.5" hidden="1">
      <c r="A251" s="62">
        <f>IF(AND(Data!#REF!&lt;&gt;"",Data!#REF!="Accept&amp;#233;"),Data!#REF!,"")</f>
      </c>
      <c r="B251" s="62">
        <f>IF(AND(Data!#REF!&lt;&gt;"",Data!#REF!="Accept&amp;#233;"),Data!#REF!,"")</f>
      </c>
      <c r="C251" s="63">
        <f>IF(D251&lt;&gt;"","S"&amp;TEXT(WEEKNUM(D251),"00"),"")</f>
      </c>
      <c r="D251" s="42">
        <f>IF(AND(Data!#REF!&lt;&gt;"",Data!#REF!="Accept&amp;#233;"),Data!#REF!,"")</f>
        <v>25569.041666666668</v>
      </c>
      <c r="E251" s="64">
        <f>IF(AND(Data!#REF!&lt;&gt;"",Data!#REF!="Accept&amp;#233;"),Data!#REF!,"")</f>
      </c>
      <c r="F251" s="65">
        <f>IF(AND(Data!#REF!&lt;&gt;"",Data!#REF!="Accept&amp;#233;"),Data!#REF!,"")</f>
      </c>
      <c r="G251" s="66">
        <f>IF(Data!#REF!='Delivery Plan'!E251,Data!#REF!,"")</f>
      </c>
      <c r="H251" s="53"/>
      <c r="I251" s="63">
        <f>IF(J251&lt;&gt;"","S"&amp;TEXT(WEEKNUM(J251),"00"),"")</f>
      </c>
      <c r="J251" s="42">
        <f>IF(AND(E251=Data!#REF!,Data!#REF!&lt;&gt;""),Data!#REF!,"")</f>
        <v>25569.041666666668</v>
      </c>
      <c r="K251" s="67">
        <f>IF(AND(E251=Data!#REF!,Data!#REF!&lt;&gt;""),Data!#REF!,"")</f>
        <v>25569.041666666668</v>
      </c>
      <c r="L251" s="68">
        <f>IF(E251=Data!#REF!,Data!#REF!,"")</f>
      </c>
      <c r="M251" s="68">
        <f>IF(E251=Data!#REF!,Data!#REF!,"")</f>
      </c>
      <c r="N251" s="69">
        <f>IF(AND(Data!#REF!&lt;&gt;"",Data!#REF!="Accept&amp;#233;"),Data!#REF!,"")</f>
      </c>
    </row>
    <row x14ac:dyDescent="0.25" r="252" customHeight="1" ht="19.5" hidden="1">
      <c r="A252" s="62">
        <f>IF(AND(Data!#REF!&lt;&gt;"",Data!#REF!="Accept&amp;#233;"),Data!#REF!,"")</f>
      </c>
      <c r="B252" s="62">
        <f>IF(AND(Data!#REF!&lt;&gt;"",Data!#REF!="Accept&amp;#233;"),Data!#REF!,"")</f>
      </c>
      <c r="C252" s="63">
        <f>IF(D252&lt;&gt;"","S"&amp;TEXT(WEEKNUM(D252),"00"),"")</f>
      </c>
      <c r="D252" s="42">
        <f>IF(AND(Data!#REF!&lt;&gt;"",Data!#REF!="Accept&amp;#233;"),Data!#REF!,"")</f>
        <v>25569.041666666668</v>
      </c>
      <c r="E252" s="64">
        <f>IF(AND(Data!#REF!&lt;&gt;"",Data!#REF!="Accept&amp;#233;"),Data!#REF!,"")</f>
      </c>
      <c r="F252" s="65">
        <f>IF(AND(Data!#REF!&lt;&gt;"",Data!#REF!="Accept&amp;#233;"),Data!#REF!,"")</f>
      </c>
      <c r="G252" s="66">
        <f>IF(Data!#REF!='Delivery Plan'!E252,Data!#REF!,"")</f>
      </c>
      <c r="H252" s="53"/>
      <c r="I252" s="63">
        <f>IF(J252&lt;&gt;"","S"&amp;TEXT(WEEKNUM(J252),"00"),"")</f>
      </c>
      <c r="J252" s="42">
        <f>IF(AND(E252=Data!#REF!,Data!#REF!&lt;&gt;""),Data!#REF!,"")</f>
        <v>25569.041666666668</v>
      </c>
      <c r="K252" s="67">
        <f>IF(AND(E252=Data!#REF!,Data!#REF!&lt;&gt;""),Data!#REF!,"")</f>
        <v>25569.041666666668</v>
      </c>
      <c r="L252" s="68">
        <f>IF(E252=Data!#REF!,Data!#REF!,"")</f>
      </c>
      <c r="M252" s="68">
        <f>IF(E252=Data!#REF!,Data!#REF!,"")</f>
      </c>
      <c r="N252" s="69">
        <f>IF(AND(Data!#REF!&lt;&gt;"",Data!#REF!="Accept&amp;#233;"),Data!#REF!,"")</f>
      </c>
    </row>
    <row x14ac:dyDescent="0.25" r="253" customHeight="1" ht="19.5" hidden="1">
      <c r="A253" s="62">
        <f>IF(AND(Data!#REF!&lt;&gt;"",Data!#REF!="Accept&amp;#233;"),Data!#REF!,"")</f>
      </c>
      <c r="B253" s="62">
        <f>IF(AND(Data!#REF!&lt;&gt;"",Data!#REF!="Accept&amp;#233;"),Data!#REF!,"")</f>
      </c>
      <c r="C253" s="63">
        <f>IF(D253&lt;&gt;"","S"&amp;TEXT(WEEKNUM(D253),"00"),"")</f>
      </c>
      <c r="D253" s="42">
        <f>IF(AND(Data!#REF!&lt;&gt;"",Data!#REF!="Accept&amp;#233;"),Data!#REF!,"")</f>
        <v>25569.041666666668</v>
      </c>
      <c r="E253" s="64">
        <f>IF(AND(Data!#REF!&lt;&gt;"",Data!#REF!="Accept&amp;#233;"),Data!#REF!,"")</f>
      </c>
      <c r="F253" s="65">
        <f>IF(AND(Data!#REF!&lt;&gt;"",Data!#REF!="Accept&amp;#233;"),Data!#REF!,"")</f>
      </c>
      <c r="G253" s="66">
        <f>IF(Data!#REF!='Delivery Plan'!E253,Data!#REF!,"")</f>
      </c>
      <c r="H253" s="53"/>
      <c r="I253" s="63">
        <f>IF(J253&lt;&gt;"","S"&amp;TEXT(WEEKNUM(J253),"00"),"")</f>
      </c>
      <c r="J253" s="42">
        <f>IF(AND(E253=Data!#REF!,Data!#REF!&lt;&gt;""),Data!#REF!,"")</f>
        <v>25569.041666666668</v>
      </c>
      <c r="K253" s="67">
        <f>IF(AND(E253=Data!#REF!,Data!#REF!&lt;&gt;""),Data!#REF!,"")</f>
        <v>25569.041666666668</v>
      </c>
      <c r="L253" s="68">
        <f>IF(E253=Data!#REF!,Data!#REF!,"")</f>
      </c>
      <c r="M253" s="68">
        <f>IF(E253=Data!#REF!,Data!#REF!,"")</f>
      </c>
      <c r="N253" s="69">
        <f>IF(AND(Data!#REF!&lt;&gt;"",Data!#REF!="Accept&amp;#233;"),Data!#REF!,"")</f>
      </c>
    </row>
    <row x14ac:dyDescent="0.25" r="254" customHeight="1" ht="19.5" hidden="1">
      <c r="A254" s="62">
        <f>IF(AND(Data!#REF!&lt;&gt;"",Data!#REF!="Accept&amp;#233;"),Data!#REF!,"")</f>
      </c>
      <c r="B254" s="62">
        <f>IF(AND(Data!#REF!&lt;&gt;"",Data!#REF!="Accept&amp;#233;"),Data!#REF!,"")</f>
      </c>
      <c r="C254" s="63">
        <f>IF(D254&lt;&gt;"","S"&amp;TEXT(WEEKNUM(D254),"00"),"")</f>
      </c>
      <c r="D254" s="42">
        <f>IF(AND(Data!#REF!&lt;&gt;"",Data!#REF!="Accept&amp;#233;"),Data!#REF!,"")</f>
        <v>25569.041666666668</v>
      </c>
      <c r="E254" s="64">
        <f>IF(AND(Data!#REF!&lt;&gt;"",Data!#REF!="Accept&amp;#233;"),Data!#REF!,"")</f>
      </c>
      <c r="F254" s="65">
        <f>IF(AND(Data!#REF!&lt;&gt;"",Data!#REF!="Accept&amp;#233;"),Data!#REF!,"")</f>
      </c>
      <c r="G254" s="66">
        <f>IF(Data!#REF!='Delivery Plan'!E254,Data!#REF!,"")</f>
      </c>
      <c r="H254" s="53"/>
      <c r="I254" s="63">
        <f>IF(J254&lt;&gt;"","S"&amp;TEXT(WEEKNUM(J254),"00"),"")</f>
      </c>
      <c r="J254" s="42">
        <f>IF(AND(E254=Data!#REF!,Data!#REF!&lt;&gt;""),Data!#REF!,"")</f>
        <v>25569.041666666668</v>
      </c>
      <c r="K254" s="67">
        <f>IF(AND(E254=Data!#REF!,Data!#REF!&lt;&gt;""),Data!#REF!,"")</f>
        <v>25569.041666666668</v>
      </c>
      <c r="L254" s="68">
        <f>IF(E254=Data!#REF!,Data!#REF!,"")</f>
      </c>
      <c r="M254" s="68">
        <f>IF(E254=Data!#REF!,Data!#REF!,"")</f>
      </c>
      <c r="N254" s="69">
        <f>IF(AND(Data!#REF!&lt;&gt;"",Data!#REF!="Accept&amp;#233;"),Data!#REF!,"")</f>
      </c>
    </row>
    <row x14ac:dyDescent="0.25" r="255" customHeight="1" ht="19.5" hidden="1">
      <c r="A255" s="62">
        <f>IF(AND(Data!#REF!&lt;&gt;"",Data!#REF!="Accept&amp;#233;"),Data!#REF!,"")</f>
      </c>
      <c r="B255" s="62">
        <f>IF(AND(Data!#REF!&lt;&gt;"",Data!#REF!="Accept&amp;#233;"),Data!#REF!,"")</f>
      </c>
      <c r="C255" s="63">
        <f>IF(D255&lt;&gt;"","S"&amp;TEXT(WEEKNUM(D255),"00"),"")</f>
      </c>
      <c r="D255" s="42">
        <f>IF(AND(Data!#REF!&lt;&gt;"",Data!#REF!="Accept&amp;#233;"),Data!#REF!,"")</f>
        <v>25569.041666666668</v>
      </c>
      <c r="E255" s="64">
        <f>IF(AND(Data!#REF!&lt;&gt;"",Data!#REF!="Accept&amp;#233;"),Data!#REF!,"")</f>
      </c>
      <c r="F255" s="65">
        <f>IF(AND(Data!#REF!&lt;&gt;"",Data!#REF!="Accept&amp;#233;"),Data!#REF!,"")</f>
      </c>
      <c r="G255" s="66">
        <f>IF(Data!#REF!='Delivery Plan'!E255,Data!#REF!,"")</f>
      </c>
      <c r="H255" s="53"/>
      <c r="I255" s="63">
        <f>IF(J255&lt;&gt;"","S"&amp;TEXT(WEEKNUM(J255),"00"),"")</f>
      </c>
      <c r="J255" s="42">
        <f>IF(AND(E255=Data!#REF!,Data!#REF!&lt;&gt;""),Data!#REF!,"")</f>
        <v>25569.041666666668</v>
      </c>
      <c r="K255" s="67">
        <f>IF(AND(E255=Data!#REF!,Data!#REF!&lt;&gt;""),Data!#REF!,"")</f>
        <v>25569.041666666668</v>
      </c>
      <c r="L255" s="68">
        <f>IF(E255=Data!#REF!,Data!#REF!,"")</f>
      </c>
      <c r="M255" s="68">
        <f>IF(E255=Data!#REF!,Data!#REF!,"")</f>
      </c>
      <c r="N255" s="69">
        <f>IF(AND(Data!#REF!&lt;&gt;"",Data!#REF!="Accept&amp;#233;"),Data!#REF!,"")</f>
      </c>
    </row>
    <row x14ac:dyDescent="0.25" r="256" customHeight="1" ht="19.5" hidden="1">
      <c r="A256" s="62">
        <f>IF(AND(Data!#REF!&lt;&gt;"",Data!#REF!="Accept&amp;#233;"),Data!#REF!,"")</f>
      </c>
      <c r="B256" s="62">
        <f>IF(AND(Data!#REF!&lt;&gt;"",Data!#REF!="Accept&amp;#233;"),Data!#REF!,"")</f>
      </c>
      <c r="C256" s="63">
        <f>IF(D256&lt;&gt;"","S"&amp;TEXT(WEEKNUM(D256),"00"),"")</f>
      </c>
      <c r="D256" s="42">
        <f>IF(AND(Data!#REF!&lt;&gt;"",Data!#REF!="Accept&amp;#233;"),Data!#REF!,"")</f>
        <v>25569.041666666668</v>
      </c>
      <c r="E256" s="64">
        <f>IF(AND(Data!#REF!&lt;&gt;"",Data!#REF!="Accept&amp;#233;"),Data!#REF!,"")</f>
      </c>
      <c r="F256" s="65">
        <f>IF(AND(Data!#REF!&lt;&gt;"",Data!#REF!="Accept&amp;#233;"),Data!#REF!,"")</f>
      </c>
      <c r="G256" s="66">
        <f>IF(Data!#REF!='Delivery Plan'!E256,Data!#REF!,"")</f>
      </c>
      <c r="H256" s="53"/>
      <c r="I256" s="63">
        <f>IF(J256&lt;&gt;"","S"&amp;TEXT(WEEKNUM(J256),"00"),"")</f>
      </c>
      <c r="J256" s="42">
        <f>IF(AND(E256=Data!#REF!,Data!#REF!&lt;&gt;""),Data!#REF!,"")</f>
        <v>25569.041666666668</v>
      </c>
      <c r="K256" s="67">
        <f>IF(AND(E256=Data!#REF!,Data!#REF!&lt;&gt;""),Data!#REF!,"")</f>
        <v>25569.041666666668</v>
      </c>
      <c r="L256" s="68">
        <f>IF(E256=Data!#REF!,Data!#REF!,"")</f>
      </c>
      <c r="M256" s="68">
        <f>IF(E256=Data!#REF!,Data!#REF!,"")</f>
      </c>
      <c r="N256" s="69">
        <f>IF(AND(Data!#REF!&lt;&gt;"",Data!#REF!="Accept&amp;#233;"),Data!#REF!,"")</f>
      </c>
    </row>
    <row x14ac:dyDescent="0.25" r="257" customHeight="1" ht="19.5" hidden="1">
      <c r="A257" s="62">
        <f>IF(AND(Data!#REF!&lt;&gt;"",Data!#REF!="Accept&amp;#233;"),Data!#REF!,"")</f>
      </c>
      <c r="B257" s="62">
        <f>IF(AND(Data!#REF!&lt;&gt;"",Data!#REF!="Accept&amp;#233;"),Data!#REF!,"")</f>
      </c>
      <c r="C257" s="63">
        <f>IF(D257&lt;&gt;"","S"&amp;TEXT(WEEKNUM(D257),"00"),"")</f>
      </c>
      <c r="D257" s="42">
        <f>IF(AND(Data!#REF!&lt;&gt;"",Data!#REF!="Accept&amp;#233;"),Data!#REF!,"")</f>
        <v>25569.041666666668</v>
      </c>
      <c r="E257" s="64">
        <f>IF(AND(Data!#REF!&lt;&gt;"",Data!#REF!="Accept&amp;#233;"),Data!#REF!,"")</f>
      </c>
      <c r="F257" s="65">
        <f>IF(AND(Data!#REF!&lt;&gt;"",Data!#REF!="Accept&amp;#233;"),Data!#REF!,"")</f>
      </c>
      <c r="G257" s="66">
        <f>IF(Data!#REF!='Delivery Plan'!E257,Data!#REF!,"")</f>
      </c>
      <c r="H257" s="53"/>
      <c r="I257" s="63">
        <f>IF(J257&lt;&gt;"","S"&amp;TEXT(WEEKNUM(J257),"00"),"")</f>
      </c>
      <c r="J257" s="42">
        <f>IF(AND(E257=Data!#REF!,Data!#REF!&lt;&gt;""),Data!#REF!,"")</f>
        <v>25569.041666666668</v>
      </c>
      <c r="K257" s="67">
        <f>IF(AND(E257=Data!#REF!,Data!#REF!&lt;&gt;""),Data!#REF!,"")</f>
        <v>25569.041666666668</v>
      </c>
      <c r="L257" s="68">
        <f>IF(E257=Data!#REF!,Data!#REF!,"")</f>
      </c>
      <c r="M257" s="68">
        <f>IF(E257=Data!#REF!,Data!#REF!,"")</f>
      </c>
      <c r="N257" s="69">
        <f>IF(AND(Data!#REF!&lt;&gt;"",Data!#REF!="Accept&amp;#233;"),Data!#REF!,"")</f>
      </c>
    </row>
    <row x14ac:dyDescent="0.25" r="258" customHeight="1" ht="19.5" hidden="1">
      <c r="A258" s="62">
        <f>IF(AND(Data!#REF!&lt;&gt;"",Data!#REF!="Accept&amp;#233;"),Data!#REF!,"")</f>
      </c>
      <c r="B258" s="62">
        <f>IF(AND(Data!#REF!&lt;&gt;"",Data!#REF!="Accept&amp;#233;"),Data!#REF!,"")</f>
      </c>
      <c r="C258" s="63">
        <f>IF(D258&lt;&gt;"","S"&amp;TEXT(WEEKNUM(D258),"00"),"")</f>
      </c>
      <c r="D258" s="42">
        <f>IF(AND(Data!#REF!&lt;&gt;"",Data!#REF!="Accept&amp;#233;"),Data!#REF!,"")</f>
        <v>25569.041666666668</v>
      </c>
      <c r="E258" s="64">
        <f>IF(AND(Data!#REF!&lt;&gt;"",Data!#REF!="Accept&amp;#233;"),Data!#REF!,"")</f>
      </c>
      <c r="F258" s="65">
        <f>IF(AND(Data!#REF!&lt;&gt;"",Data!#REF!="Accept&amp;#233;"),Data!#REF!,"")</f>
      </c>
      <c r="G258" s="66">
        <f>IF(Data!#REF!='Delivery Plan'!E258,Data!#REF!,"")</f>
      </c>
      <c r="H258" s="53"/>
      <c r="I258" s="63">
        <f>IF(J258&lt;&gt;"","S"&amp;TEXT(WEEKNUM(J258),"00"),"")</f>
      </c>
      <c r="J258" s="42">
        <f>IF(AND(E258=Data!#REF!,Data!#REF!&lt;&gt;""),Data!#REF!,"")</f>
        <v>25569.041666666668</v>
      </c>
      <c r="K258" s="67">
        <f>IF(AND(E258=Data!#REF!,Data!#REF!&lt;&gt;""),Data!#REF!,"")</f>
        <v>25569.041666666668</v>
      </c>
      <c r="L258" s="68">
        <f>IF(E258=Data!#REF!,Data!#REF!,"")</f>
      </c>
      <c r="M258" s="68">
        <f>IF(E258=Data!#REF!,Data!#REF!,"")</f>
      </c>
      <c r="N258" s="69">
        <f>IF(AND(Data!#REF!&lt;&gt;"",Data!#REF!="Accept&amp;#233;"),Data!#REF!,"")</f>
      </c>
    </row>
    <row x14ac:dyDescent="0.25" r="259" customHeight="1" ht="19.5" hidden="1">
      <c r="A259" s="62">
        <f>IF(AND(Data!#REF!&lt;&gt;"",Data!#REF!="Accept&amp;#233;"),Data!#REF!,"")</f>
      </c>
      <c r="B259" s="62">
        <f>IF(AND(Data!#REF!&lt;&gt;"",Data!#REF!="Accept&amp;#233;"),Data!#REF!,"")</f>
      </c>
      <c r="C259" s="63">
        <f>IF(D259&lt;&gt;"","S"&amp;TEXT(WEEKNUM(D259),"00"),"")</f>
      </c>
      <c r="D259" s="42">
        <f>IF(AND(Data!#REF!&lt;&gt;"",Data!#REF!="Accept&amp;#233;"),Data!#REF!,"")</f>
        <v>25569.041666666668</v>
      </c>
      <c r="E259" s="64">
        <f>IF(AND(Data!#REF!&lt;&gt;"",Data!#REF!="Accept&amp;#233;"),Data!#REF!,"")</f>
      </c>
      <c r="F259" s="65">
        <f>IF(AND(Data!#REF!&lt;&gt;"",Data!#REF!="Accept&amp;#233;"),Data!#REF!,"")</f>
      </c>
      <c r="G259" s="66">
        <f>IF(Data!#REF!='Delivery Plan'!E259,Data!#REF!,"")</f>
      </c>
      <c r="H259" s="53"/>
      <c r="I259" s="63">
        <f>IF(J259&lt;&gt;"","S"&amp;TEXT(WEEKNUM(J259),"00"),"")</f>
      </c>
      <c r="J259" s="42">
        <f>IF(AND(E259=Data!#REF!,Data!#REF!&lt;&gt;""),Data!#REF!,"")</f>
        <v>25569.041666666668</v>
      </c>
      <c r="K259" s="67">
        <f>IF(AND(E259=Data!#REF!,Data!#REF!&lt;&gt;""),Data!#REF!,"")</f>
        <v>25569.041666666668</v>
      </c>
      <c r="L259" s="68">
        <f>IF(E259=Data!#REF!,Data!#REF!,"")</f>
      </c>
      <c r="M259" s="68">
        <f>IF(E259=Data!#REF!,Data!#REF!,"")</f>
      </c>
      <c r="N259" s="69">
        <f>IF(AND(Data!#REF!&lt;&gt;"",Data!#REF!="Accept&amp;#233;"),Data!#REF!,"")</f>
      </c>
    </row>
    <row x14ac:dyDescent="0.25" r="260" customHeight="1" ht="19.5" hidden="1">
      <c r="A260" s="62">
        <f>IF(AND(Data!#REF!&lt;&gt;"",Data!#REF!="Accept&amp;#233;"),Data!#REF!,"")</f>
      </c>
      <c r="B260" s="62">
        <f>IF(AND(Data!#REF!&lt;&gt;"",Data!#REF!="Accept&amp;#233;"),Data!#REF!,"")</f>
      </c>
      <c r="C260" s="63">
        <f>IF(D260&lt;&gt;"","S"&amp;TEXT(WEEKNUM(D260),"00"),"")</f>
      </c>
      <c r="D260" s="42">
        <f>IF(AND(Data!#REF!&lt;&gt;"",Data!#REF!="Accept&amp;#233;"),Data!#REF!,"")</f>
        <v>25569.041666666668</v>
      </c>
      <c r="E260" s="64">
        <f>IF(AND(Data!#REF!&lt;&gt;"",Data!#REF!="Accept&amp;#233;"),Data!#REF!,"")</f>
      </c>
      <c r="F260" s="65">
        <f>IF(AND(Data!#REF!&lt;&gt;"",Data!#REF!="Accept&amp;#233;"),Data!#REF!,"")</f>
      </c>
      <c r="G260" s="66">
        <f>IF(Data!#REF!='Delivery Plan'!E260,Data!#REF!,"")</f>
      </c>
      <c r="H260" s="53"/>
      <c r="I260" s="63">
        <f>IF(J260&lt;&gt;"","S"&amp;TEXT(WEEKNUM(J260),"00"),"")</f>
      </c>
      <c r="J260" s="42">
        <f>IF(AND(E260=Data!#REF!,Data!#REF!&lt;&gt;""),Data!#REF!,"")</f>
        <v>25569.041666666668</v>
      </c>
      <c r="K260" s="67">
        <f>IF(AND(E260=Data!#REF!,Data!#REF!&lt;&gt;""),Data!#REF!,"")</f>
        <v>25569.041666666668</v>
      </c>
      <c r="L260" s="68">
        <f>IF(E260=Data!#REF!,Data!#REF!,"")</f>
      </c>
      <c r="M260" s="68">
        <f>IF(E260=Data!#REF!,Data!#REF!,"")</f>
      </c>
      <c r="N260" s="69">
        <f>IF(AND(Data!#REF!&lt;&gt;"",Data!#REF!="Accept&amp;#233;"),Data!#REF!,"")</f>
      </c>
    </row>
    <row x14ac:dyDescent="0.25" r="261" customHeight="1" ht="19.5" hidden="1">
      <c r="A261" s="62">
        <f>IF(AND(Data!#REF!&lt;&gt;"",Data!#REF!="Accept&amp;#233;"),Data!#REF!,"")</f>
      </c>
      <c r="B261" s="62">
        <f>IF(AND(Data!#REF!&lt;&gt;"",Data!#REF!="Accept&amp;#233;"),Data!#REF!,"")</f>
      </c>
      <c r="C261" s="63">
        <f>IF(D261&lt;&gt;"","S"&amp;TEXT(WEEKNUM(D261),"00"),"")</f>
      </c>
      <c r="D261" s="42">
        <f>IF(AND(Data!#REF!&lt;&gt;"",Data!#REF!="Accept&amp;#233;"),Data!#REF!,"")</f>
        <v>25569.041666666668</v>
      </c>
      <c r="E261" s="64">
        <f>IF(AND(Data!#REF!&lt;&gt;"",Data!#REF!="Accept&amp;#233;"),Data!#REF!,"")</f>
      </c>
      <c r="F261" s="65">
        <f>IF(AND(Data!#REF!&lt;&gt;"",Data!#REF!="Accept&amp;#233;"),Data!#REF!,"")</f>
      </c>
      <c r="G261" s="66">
        <f>IF(Data!#REF!='Delivery Plan'!E261,Data!#REF!,"")</f>
      </c>
      <c r="H261" s="53"/>
      <c r="I261" s="63">
        <f>IF(J261&lt;&gt;"","S"&amp;TEXT(WEEKNUM(J261),"00"),"")</f>
      </c>
      <c r="J261" s="42">
        <f>IF(AND(E261=Data!#REF!,Data!#REF!&lt;&gt;""),Data!#REF!,"")</f>
        <v>25569.041666666668</v>
      </c>
      <c r="K261" s="67">
        <f>IF(AND(E261=Data!#REF!,Data!#REF!&lt;&gt;""),Data!#REF!,"")</f>
        <v>25569.041666666668</v>
      </c>
      <c r="L261" s="68">
        <f>IF(E261=Data!#REF!,Data!#REF!,"")</f>
      </c>
      <c r="M261" s="68">
        <f>IF(E261=Data!#REF!,Data!#REF!,"")</f>
      </c>
      <c r="N261" s="69">
        <f>IF(AND(Data!#REF!&lt;&gt;"",Data!#REF!="Accept&amp;#233;"),Data!#REF!,"")</f>
      </c>
    </row>
    <row x14ac:dyDescent="0.25" r="262" customHeight="1" ht="19.5" hidden="1">
      <c r="A262" s="62">
        <f>IF(AND(Data!#REF!&lt;&gt;"",Data!#REF!="Accept&amp;#233;"),Data!#REF!,"")</f>
      </c>
      <c r="B262" s="62">
        <f>IF(AND(Data!#REF!&lt;&gt;"",Data!#REF!="Accept&amp;#233;"),Data!#REF!,"")</f>
      </c>
      <c r="C262" s="63">
        <f>IF(D262&lt;&gt;"","S"&amp;TEXT(WEEKNUM(D262),"00"),"")</f>
      </c>
      <c r="D262" s="42">
        <f>IF(AND(Data!#REF!&lt;&gt;"",Data!#REF!="Accept&amp;#233;"),Data!#REF!,"")</f>
        <v>25569.041666666668</v>
      </c>
      <c r="E262" s="64">
        <f>IF(AND(Data!#REF!&lt;&gt;"",Data!#REF!="Accept&amp;#233;"),Data!#REF!,"")</f>
      </c>
      <c r="F262" s="65">
        <f>IF(AND(Data!#REF!&lt;&gt;"",Data!#REF!="Accept&amp;#233;"),Data!#REF!,"")</f>
      </c>
      <c r="G262" s="66">
        <f>IF(Data!#REF!='Delivery Plan'!E262,Data!#REF!,"")</f>
      </c>
      <c r="H262" s="53"/>
      <c r="I262" s="63">
        <f>IF(J262&lt;&gt;"","S"&amp;TEXT(WEEKNUM(J262),"00"),"")</f>
      </c>
      <c r="J262" s="42">
        <f>IF(AND(E262=Data!#REF!,Data!#REF!&lt;&gt;""),Data!#REF!,"")</f>
        <v>25569.041666666668</v>
      </c>
      <c r="K262" s="67">
        <f>IF(AND(E262=Data!#REF!,Data!#REF!&lt;&gt;""),Data!#REF!,"")</f>
        <v>25569.041666666668</v>
      </c>
      <c r="L262" s="68">
        <f>IF(E262=Data!#REF!,Data!#REF!,"")</f>
      </c>
      <c r="M262" s="68">
        <f>IF(E262=Data!#REF!,Data!#REF!,"")</f>
      </c>
      <c r="N262" s="69">
        <f>IF(AND(Data!#REF!&lt;&gt;"",Data!#REF!="Accept&amp;#233;"),Data!#REF!,"")</f>
      </c>
    </row>
    <row x14ac:dyDescent="0.25" r="263" customHeight="1" ht="19.5" hidden="1">
      <c r="A263" s="62">
        <f>IF(AND(Data!#REF!&lt;&gt;"",Data!#REF!="Accept&amp;#233;"),Data!#REF!,"")</f>
      </c>
      <c r="B263" s="62">
        <f>IF(AND(Data!#REF!&lt;&gt;"",Data!#REF!="Accept&amp;#233;"),Data!#REF!,"")</f>
      </c>
      <c r="C263" s="63">
        <f>IF(D263&lt;&gt;"","S"&amp;TEXT(WEEKNUM(D263),"00"),"")</f>
      </c>
      <c r="D263" s="42">
        <f>IF(AND(Data!#REF!&lt;&gt;"",Data!#REF!="Accept&amp;#233;"),Data!#REF!,"")</f>
        <v>25569.041666666668</v>
      </c>
      <c r="E263" s="64">
        <f>IF(AND(Data!#REF!&lt;&gt;"",Data!#REF!="Accept&amp;#233;"),Data!#REF!,"")</f>
      </c>
      <c r="F263" s="65">
        <f>IF(AND(Data!#REF!&lt;&gt;"",Data!#REF!="Accept&amp;#233;"),Data!#REF!,"")</f>
      </c>
      <c r="G263" s="66">
        <f>IF(Data!#REF!='Delivery Plan'!E263,Data!#REF!,"")</f>
      </c>
      <c r="H263" s="53"/>
      <c r="I263" s="63">
        <f>IF(J263&lt;&gt;"","S"&amp;TEXT(WEEKNUM(J263),"00"),"")</f>
      </c>
      <c r="J263" s="42">
        <f>IF(AND(E263=Data!#REF!,Data!#REF!&lt;&gt;""),Data!#REF!,"")</f>
        <v>25569.041666666668</v>
      </c>
      <c r="K263" s="67">
        <f>IF(AND(E263=Data!#REF!,Data!#REF!&lt;&gt;""),Data!#REF!,"")</f>
        <v>25569.041666666668</v>
      </c>
      <c r="L263" s="68">
        <f>IF(E263=Data!#REF!,Data!#REF!,"")</f>
      </c>
      <c r="M263" s="68">
        <f>IF(E263=Data!#REF!,Data!#REF!,"")</f>
      </c>
      <c r="N263" s="69">
        <f>IF(AND(Data!#REF!&lt;&gt;"",Data!#REF!="Accept&amp;#233;"),Data!#REF!,"")</f>
      </c>
    </row>
    <row x14ac:dyDescent="0.25" r="264" customHeight="1" ht="19.5" hidden="1">
      <c r="A264" s="62">
        <f>IF(AND(Data!#REF!&lt;&gt;"",Data!#REF!="Accept&amp;#233;"),Data!#REF!,"")</f>
      </c>
      <c r="B264" s="62">
        <f>IF(AND(Data!#REF!&lt;&gt;"",Data!#REF!="Accept&amp;#233;"),Data!#REF!,"")</f>
      </c>
      <c r="C264" s="63">
        <f>IF(D264&lt;&gt;"","S"&amp;TEXT(WEEKNUM(D264),"00"),"")</f>
      </c>
      <c r="D264" s="42">
        <f>IF(AND(Data!#REF!&lt;&gt;"",Data!#REF!="Accept&amp;#233;"),Data!#REF!,"")</f>
        <v>25569.041666666668</v>
      </c>
      <c r="E264" s="64">
        <f>IF(AND(Data!#REF!&lt;&gt;"",Data!#REF!="Accept&amp;#233;"),Data!#REF!,"")</f>
      </c>
      <c r="F264" s="65">
        <f>IF(AND(Data!#REF!&lt;&gt;"",Data!#REF!="Accept&amp;#233;"),Data!#REF!,"")</f>
      </c>
      <c r="G264" s="66">
        <f>IF(Data!#REF!='Delivery Plan'!E264,Data!#REF!,"")</f>
      </c>
      <c r="H264" s="53"/>
      <c r="I264" s="63">
        <f>IF(J264&lt;&gt;"","S"&amp;TEXT(WEEKNUM(J264),"00"),"")</f>
      </c>
      <c r="J264" s="42">
        <f>IF(AND(E264=Data!#REF!,Data!#REF!&lt;&gt;""),Data!#REF!,"")</f>
        <v>25569.041666666668</v>
      </c>
      <c r="K264" s="67">
        <f>IF(AND(E264=Data!#REF!,Data!#REF!&lt;&gt;""),Data!#REF!,"")</f>
        <v>25569.041666666668</v>
      </c>
      <c r="L264" s="68">
        <f>IF(E264=Data!#REF!,Data!#REF!,"")</f>
      </c>
      <c r="M264" s="68">
        <f>IF(E264=Data!#REF!,Data!#REF!,"")</f>
      </c>
      <c r="N264" s="69">
        <f>IF(AND(Data!#REF!&lt;&gt;"",Data!#REF!="Accept&amp;#233;"),Data!#REF!,"")</f>
      </c>
    </row>
    <row x14ac:dyDescent="0.25" r="265" customHeight="1" ht="19.5" hidden="1">
      <c r="A265" s="62">
        <f>IF(AND(Data!#REF!&lt;&gt;"",Data!#REF!="Accept&amp;#233;"),Data!#REF!,"")</f>
      </c>
      <c r="B265" s="62">
        <f>IF(AND(Data!#REF!&lt;&gt;"",Data!#REF!="Accept&amp;#233;"),Data!#REF!,"")</f>
      </c>
      <c r="C265" s="63">
        <f>IF(D265&lt;&gt;"","S"&amp;TEXT(WEEKNUM(D265),"00"),"")</f>
      </c>
      <c r="D265" s="42">
        <f>IF(AND(Data!#REF!&lt;&gt;"",Data!#REF!="Accept&amp;#233;"),Data!#REF!,"")</f>
        <v>25569.041666666668</v>
      </c>
      <c r="E265" s="64">
        <f>IF(AND(Data!#REF!&lt;&gt;"",Data!#REF!="Accept&amp;#233;"),Data!#REF!,"")</f>
      </c>
      <c r="F265" s="65">
        <f>IF(AND(Data!#REF!&lt;&gt;"",Data!#REF!="Accept&amp;#233;"),Data!#REF!,"")</f>
      </c>
      <c r="G265" s="66">
        <f>IF(Data!#REF!='Delivery Plan'!E265,Data!#REF!,"")</f>
      </c>
      <c r="H265" s="53"/>
      <c r="I265" s="63">
        <f>IF(J265&lt;&gt;"","S"&amp;TEXT(WEEKNUM(J265),"00"),"")</f>
      </c>
      <c r="J265" s="42">
        <f>IF(AND(E265=Data!#REF!,Data!#REF!&lt;&gt;""),Data!#REF!,"")</f>
        <v>25569.041666666668</v>
      </c>
      <c r="K265" s="67">
        <f>IF(AND(E265=Data!#REF!,Data!#REF!&lt;&gt;""),Data!#REF!,"")</f>
        <v>25569.041666666668</v>
      </c>
      <c r="L265" s="68">
        <f>IF(E265=Data!#REF!,Data!#REF!,"")</f>
      </c>
      <c r="M265" s="68">
        <f>IF(E265=Data!#REF!,Data!#REF!,"")</f>
      </c>
      <c r="N265" s="69">
        <f>IF(AND(Data!#REF!&lt;&gt;"",Data!#REF!="Accept&amp;#233;"),Data!#REF!,"")</f>
      </c>
    </row>
    <row x14ac:dyDescent="0.25" r="266" customHeight="1" ht="19.5" hidden="1">
      <c r="A266" s="62">
        <f>IF(AND(Data!#REF!&lt;&gt;"",Data!#REF!="Accept&amp;#233;"),Data!#REF!,"")</f>
      </c>
      <c r="B266" s="62">
        <f>IF(AND(Data!#REF!&lt;&gt;"",Data!#REF!="Accept&amp;#233;"),Data!#REF!,"")</f>
      </c>
      <c r="C266" s="63">
        <f>IF(D266&lt;&gt;"","S"&amp;TEXT(WEEKNUM(D266),"00"),"")</f>
      </c>
      <c r="D266" s="42">
        <f>IF(AND(Data!#REF!&lt;&gt;"",Data!#REF!="Accept&amp;#233;"),Data!#REF!,"")</f>
        <v>25569.041666666668</v>
      </c>
      <c r="E266" s="64">
        <f>IF(AND(Data!#REF!&lt;&gt;"",Data!#REF!="Accept&amp;#233;"),Data!#REF!,"")</f>
      </c>
      <c r="F266" s="65">
        <f>IF(AND(Data!#REF!&lt;&gt;"",Data!#REF!="Accept&amp;#233;"),Data!#REF!,"")</f>
      </c>
      <c r="G266" s="66">
        <f>IF(Data!#REF!='Delivery Plan'!E266,Data!#REF!,"")</f>
      </c>
      <c r="H266" s="53"/>
      <c r="I266" s="63">
        <f>IF(J266&lt;&gt;"","S"&amp;TEXT(WEEKNUM(J266),"00"),"")</f>
      </c>
      <c r="J266" s="42">
        <f>IF(AND(E266=Data!#REF!,Data!#REF!&lt;&gt;""),Data!#REF!,"")</f>
        <v>25569.041666666668</v>
      </c>
      <c r="K266" s="67">
        <f>IF(AND(E266=Data!#REF!,Data!#REF!&lt;&gt;""),Data!#REF!,"")</f>
        <v>25569.041666666668</v>
      </c>
      <c r="L266" s="68">
        <f>IF(E266=Data!#REF!,Data!#REF!,"")</f>
      </c>
      <c r="M266" s="68">
        <f>IF(E266=Data!#REF!,Data!#REF!,"")</f>
      </c>
      <c r="N266" s="69">
        <f>IF(AND(Data!#REF!&lt;&gt;"",Data!#REF!="Accept&amp;#233;"),Data!#REF!,"")</f>
      </c>
    </row>
    <row x14ac:dyDescent="0.25" r="267" customHeight="1" ht="19.5" hidden="1">
      <c r="A267" s="62">
        <f>IF(AND(Data!#REF!&lt;&gt;"",Data!#REF!="Accept&amp;#233;"),Data!#REF!,"")</f>
      </c>
      <c r="B267" s="62">
        <f>IF(AND(Data!#REF!&lt;&gt;"",Data!#REF!="Accept&amp;#233;"),Data!#REF!,"")</f>
      </c>
      <c r="C267" s="63">
        <f>IF(D267&lt;&gt;"","S"&amp;TEXT(WEEKNUM(D267),"00"),"")</f>
      </c>
      <c r="D267" s="42">
        <f>IF(AND(Data!#REF!&lt;&gt;"",Data!#REF!="Accept&amp;#233;"),Data!#REF!,"")</f>
        <v>25569.041666666668</v>
      </c>
      <c r="E267" s="64">
        <f>IF(AND(Data!#REF!&lt;&gt;"",Data!#REF!="Accept&amp;#233;"),Data!#REF!,"")</f>
      </c>
      <c r="F267" s="65">
        <f>IF(AND(Data!#REF!&lt;&gt;"",Data!#REF!="Accept&amp;#233;"),Data!#REF!,"")</f>
      </c>
      <c r="G267" s="66">
        <f>IF(Data!#REF!='Delivery Plan'!E267,Data!#REF!,"")</f>
      </c>
      <c r="H267" s="53"/>
      <c r="I267" s="63">
        <f>IF(J267&lt;&gt;"","S"&amp;TEXT(WEEKNUM(J267),"00"),"")</f>
      </c>
      <c r="J267" s="42">
        <f>IF(AND(E267=Data!#REF!,Data!#REF!&lt;&gt;""),Data!#REF!,"")</f>
        <v>25569.041666666668</v>
      </c>
      <c r="K267" s="67">
        <f>IF(AND(E267=Data!#REF!,Data!#REF!&lt;&gt;""),Data!#REF!,"")</f>
        <v>25569.041666666668</v>
      </c>
      <c r="L267" s="68">
        <f>IF(E267=Data!#REF!,Data!#REF!,"")</f>
      </c>
      <c r="M267" s="68">
        <f>IF(E267=Data!#REF!,Data!#REF!,"")</f>
      </c>
      <c r="N267" s="69">
        <f>IF(AND(Data!#REF!&lt;&gt;"",Data!#REF!="Accept&amp;#233;"),Data!#REF!,"")</f>
      </c>
    </row>
    <row x14ac:dyDescent="0.25" r="268" customHeight="1" ht="19.5" hidden="1">
      <c r="A268" s="62">
        <f>IF(AND(Data!#REF!&lt;&gt;"",Data!#REF!="Accept&amp;#233;"),Data!#REF!,"")</f>
      </c>
      <c r="B268" s="62">
        <f>IF(AND(Data!#REF!&lt;&gt;"",Data!#REF!="Accept&amp;#233;"),Data!#REF!,"")</f>
      </c>
      <c r="C268" s="63">
        <f>IF(D268&lt;&gt;"","S"&amp;TEXT(WEEKNUM(D268),"00"),"")</f>
      </c>
      <c r="D268" s="42">
        <f>IF(AND(Data!#REF!&lt;&gt;"",Data!#REF!="Accept&amp;#233;"),Data!#REF!,"")</f>
        <v>25569.041666666668</v>
      </c>
      <c r="E268" s="64">
        <f>IF(AND(Data!#REF!&lt;&gt;"",Data!#REF!="Accept&amp;#233;"),Data!#REF!,"")</f>
      </c>
      <c r="F268" s="65">
        <f>IF(AND(Data!#REF!&lt;&gt;"",Data!#REF!="Accept&amp;#233;"),Data!#REF!,"")</f>
      </c>
      <c r="G268" s="66">
        <f>IF(Data!#REF!='Delivery Plan'!E268,Data!#REF!,"")</f>
      </c>
      <c r="H268" s="53"/>
      <c r="I268" s="63">
        <f>IF(J268&lt;&gt;"","S"&amp;TEXT(WEEKNUM(J268),"00"),"")</f>
      </c>
      <c r="J268" s="42">
        <f>IF(AND(E268=Data!#REF!,Data!#REF!&lt;&gt;""),Data!#REF!,"")</f>
        <v>25569.041666666668</v>
      </c>
      <c r="K268" s="67">
        <f>IF(AND(E268=Data!#REF!,Data!#REF!&lt;&gt;""),Data!#REF!,"")</f>
        <v>25569.041666666668</v>
      </c>
      <c r="L268" s="68">
        <f>IF(E268=Data!#REF!,Data!#REF!,"")</f>
      </c>
      <c r="M268" s="68">
        <f>IF(E268=Data!#REF!,Data!#REF!,"")</f>
      </c>
      <c r="N268" s="69">
        <f>IF(AND(Data!#REF!&lt;&gt;"",Data!#REF!="Accept&amp;#233;"),Data!#REF!,"")</f>
      </c>
    </row>
    <row x14ac:dyDescent="0.25" r="269" customHeight="1" ht="19.5" hidden="1">
      <c r="A269" s="62">
        <f>IF(AND(Data!#REF!&lt;&gt;"",Data!#REF!="Accept&amp;#233;"),Data!#REF!,"")</f>
      </c>
      <c r="B269" s="62">
        <f>IF(AND(Data!#REF!&lt;&gt;"",Data!#REF!="Accept&amp;#233;"),Data!#REF!,"")</f>
      </c>
      <c r="C269" s="63">
        <f>IF(D269&lt;&gt;"","S"&amp;TEXT(WEEKNUM(D269),"00"),"")</f>
      </c>
      <c r="D269" s="42">
        <f>IF(AND(Data!#REF!&lt;&gt;"",Data!#REF!="Accept&amp;#233;"),Data!#REF!,"")</f>
        <v>25569.041666666668</v>
      </c>
      <c r="E269" s="64">
        <f>IF(AND(Data!#REF!&lt;&gt;"",Data!#REF!="Accept&amp;#233;"),Data!#REF!,"")</f>
      </c>
      <c r="F269" s="65">
        <f>IF(AND(Data!#REF!&lt;&gt;"",Data!#REF!="Accept&amp;#233;"),Data!#REF!,"")</f>
      </c>
      <c r="G269" s="66">
        <f>IF(Data!#REF!='Delivery Plan'!E269,Data!#REF!,"")</f>
      </c>
      <c r="H269" s="53"/>
      <c r="I269" s="63">
        <f>IF(J269&lt;&gt;"","S"&amp;TEXT(WEEKNUM(J269),"00"),"")</f>
      </c>
      <c r="J269" s="42">
        <f>IF(AND(E269=Data!#REF!,Data!#REF!&lt;&gt;""),Data!#REF!,"")</f>
        <v>25569.041666666668</v>
      </c>
      <c r="K269" s="67">
        <f>IF(AND(E269=Data!#REF!,Data!#REF!&lt;&gt;""),Data!#REF!,"")</f>
        <v>25569.041666666668</v>
      </c>
      <c r="L269" s="68">
        <f>IF(E269=Data!#REF!,Data!#REF!,"")</f>
      </c>
      <c r="M269" s="68">
        <f>IF(E269=Data!#REF!,Data!#REF!,"")</f>
      </c>
      <c r="N269" s="69">
        <f>IF(AND(Data!#REF!&lt;&gt;"",Data!#REF!="Accept&amp;#233;"),Data!#REF!,"")</f>
      </c>
    </row>
    <row x14ac:dyDescent="0.25" r="270" customHeight="1" ht="19.5" hidden="1">
      <c r="A270" s="62">
        <f>IF(AND(Data!#REF!&lt;&gt;"",Data!#REF!="Accept&amp;#233;"),Data!#REF!,"")</f>
      </c>
      <c r="B270" s="62">
        <f>IF(AND(Data!#REF!&lt;&gt;"",Data!#REF!="Accept&amp;#233;"),Data!#REF!,"")</f>
      </c>
      <c r="C270" s="63">
        <f>IF(D270&lt;&gt;"","S"&amp;TEXT(WEEKNUM(D270),"00"),"")</f>
      </c>
      <c r="D270" s="42">
        <f>IF(AND(Data!#REF!&lt;&gt;"",Data!#REF!="Accept&amp;#233;"),Data!#REF!,"")</f>
        <v>25569.041666666668</v>
      </c>
      <c r="E270" s="64">
        <f>IF(AND(Data!#REF!&lt;&gt;"",Data!#REF!="Accept&amp;#233;"),Data!#REF!,"")</f>
      </c>
      <c r="F270" s="65">
        <f>IF(AND(Data!#REF!&lt;&gt;"",Data!#REF!="Accept&amp;#233;"),Data!#REF!,"")</f>
      </c>
      <c r="G270" s="66">
        <f>IF(Data!#REF!='Delivery Plan'!E270,Data!#REF!,"")</f>
      </c>
      <c r="H270" s="53"/>
      <c r="I270" s="63">
        <f>IF(J270&lt;&gt;"","S"&amp;TEXT(WEEKNUM(J270),"00"),"")</f>
      </c>
      <c r="J270" s="42">
        <f>IF(AND(E270=Data!#REF!,Data!#REF!&lt;&gt;""),Data!#REF!,"")</f>
        <v>25569.041666666668</v>
      </c>
      <c r="K270" s="67">
        <f>IF(AND(E270=Data!#REF!,Data!#REF!&lt;&gt;""),Data!#REF!,"")</f>
        <v>25569.041666666668</v>
      </c>
      <c r="L270" s="68">
        <f>IF(E270=Data!#REF!,Data!#REF!,"")</f>
      </c>
      <c r="M270" s="68">
        <f>IF(E270=Data!#REF!,Data!#REF!,"")</f>
      </c>
      <c r="N270" s="69">
        <f>IF(AND(Data!#REF!&lt;&gt;"",Data!#REF!="Accept&amp;#233;"),Data!#REF!,"")</f>
      </c>
    </row>
    <row x14ac:dyDescent="0.25" r="271" customHeight="1" ht="19.5" hidden="1">
      <c r="A271" s="62">
        <f>IF(AND(Data!#REF!&lt;&gt;"",Data!#REF!="Accept&amp;#233;"),Data!#REF!,"")</f>
      </c>
      <c r="B271" s="62">
        <f>IF(AND(Data!#REF!&lt;&gt;"",Data!#REF!="Accept&amp;#233;"),Data!#REF!,"")</f>
      </c>
      <c r="C271" s="63">
        <f>IF(D271&lt;&gt;"","S"&amp;TEXT(WEEKNUM(D271),"00"),"")</f>
      </c>
      <c r="D271" s="42">
        <f>IF(AND(Data!#REF!&lt;&gt;"",Data!#REF!="Accept&amp;#233;"),Data!#REF!,"")</f>
        <v>25569.041666666668</v>
      </c>
      <c r="E271" s="64">
        <f>IF(AND(Data!#REF!&lt;&gt;"",Data!#REF!="Accept&amp;#233;"),Data!#REF!,"")</f>
      </c>
      <c r="F271" s="65">
        <f>IF(AND(Data!#REF!&lt;&gt;"",Data!#REF!="Accept&amp;#233;"),Data!#REF!,"")</f>
      </c>
      <c r="G271" s="66">
        <f>IF(Data!#REF!='Delivery Plan'!E271,Data!#REF!,"")</f>
      </c>
      <c r="H271" s="53"/>
      <c r="I271" s="63">
        <f>IF(J271&lt;&gt;"","S"&amp;TEXT(WEEKNUM(J271),"00"),"")</f>
      </c>
      <c r="J271" s="42">
        <f>IF(AND(E271=Data!#REF!,Data!#REF!&lt;&gt;""),Data!#REF!,"")</f>
        <v>25569.041666666668</v>
      </c>
      <c r="K271" s="67">
        <f>IF(AND(E271=Data!#REF!,Data!#REF!&lt;&gt;""),Data!#REF!,"")</f>
        <v>25569.041666666668</v>
      </c>
      <c r="L271" s="68">
        <f>IF(E271=Data!#REF!,Data!#REF!,"")</f>
      </c>
      <c r="M271" s="68">
        <f>IF(E271=Data!#REF!,Data!#REF!,"")</f>
      </c>
      <c r="N271" s="69">
        <f>IF(AND(Data!#REF!&lt;&gt;"",Data!#REF!="Accept&amp;#233;"),Data!#REF!,"")</f>
      </c>
    </row>
    <row x14ac:dyDescent="0.25" r="272" customHeight="1" ht="19.5" hidden="1">
      <c r="A272" s="62">
        <f>IF(AND(Data!#REF!&lt;&gt;"",Data!#REF!="Accept&amp;#233;"),Data!#REF!,"")</f>
      </c>
      <c r="B272" s="62">
        <f>IF(AND(Data!#REF!&lt;&gt;"",Data!#REF!="Accept&amp;#233;"),Data!#REF!,"")</f>
      </c>
      <c r="C272" s="63">
        <f>IF(D272&lt;&gt;"","S"&amp;TEXT(WEEKNUM(D272),"00"),"")</f>
      </c>
      <c r="D272" s="42">
        <f>IF(AND(Data!#REF!&lt;&gt;"",Data!#REF!="Accept&amp;#233;"),Data!#REF!,"")</f>
        <v>25569.041666666668</v>
      </c>
      <c r="E272" s="64">
        <f>IF(AND(Data!#REF!&lt;&gt;"",Data!#REF!="Accept&amp;#233;"),Data!#REF!,"")</f>
      </c>
      <c r="F272" s="65">
        <f>IF(AND(Data!#REF!&lt;&gt;"",Data!#REF!="Accept&amp;#233;"),Data!#REF!,"")</f>
      </c>
      <c r="G272" s="66">
        <f>IF(Data!#REF!='Delivery Plan'!E272,Data!#REF!,"")</f>
      </c>
      <c r="H272" s="53"/>
      <c r="I272" s="63">
        <f>IF(J272&lt;&gt;"","S"&amp;TEXT(WEEKNUM(J272),"00"),"")</f>
      </c>
      <c r="J272" s="42">
        <f>IF(AND(E272=Data!#REF!,Data!#REF!&lt;&gt;""),Data!#REF!,"")</f>
        <v>25569.041666666668</v>
      </c>
      <c r="K272" s="67">
        <f>IF(AND(E272=Data!#REF!,Data!#REF!&lt;&gt;""),Data!#REF!,"")</f>
        <v>25569.041666666668</v>
      </c>
      <c r="L272" s="68">
        <f>IF(E272=Data!#REF!,Data!#REF!,"")</f>
      </c>
      <c r="M272" s="68">
        <f>IF(E272=Data!#REF!,Data!#REF!,"")</f>
      </c>
      <c r="N272" s="69">
        <f>IF(AND(Data!#REF!&lt;&gt;"",Data!#REF!="Accept&amp;#233;"),Data!#REF!,"")</f>
      </c>
    </row>
    <row x14ac:dyDescent="0.25" r="273" customHeight="1" ht="19.5" hidden="1">
      <c r="A273" s="62">
        <f>IF(AND(Data!#REF!&lt;&gt;"",Data!#REF!="Accept&amp;#233;"),Data!#REF!,"")</f>
      </c>
      <c r="B273" s="62">
        <f>IF(AND(Data!#REF!&lt;&gt;"",Data!#REF!="Accept&amp;#233;"),Data!#REF!,"")</f>
      </c>
      <c r="C273" s="63">
        <f>IF(D273&lt;&gt;"","S"&amp;TEXT(WEEKNUM(D273),"00"),"")</f>
      </c>
      <c r="D273" s="42">
        <f>IF(AND(Data!#REF!&lt;&gt;"",Data!#REF!="Accept&amp;#233;"),Data!#REF!,"")</f>
        <v>25569.041666666668</v>
      </c>
      <c r="E273" s="64">
        <f>IF(AND(Data!#REF!&lt;&gt;"",Data!#REF!="Accept&amp;#233;"),Data!#REF!,"")</f>
      </c>
      <c r="F273" s="65">
        <f>IF(AND(Data!#REF!&lt;&gt;"",Data!#REF!="Accept&amp;#233;"),Data!#REF!,"")</f>
      </c>
      <c r="G273" s="66">
        <f>IF(Data!#REF!='Delivery Plan'!E273,Data!#REF!,"")</f>
      </c>
      <c r="H273" s="53"/>
      <c r="I273" s="63">
        <f>IF(J273&lt;&gt;"","S"&amp;TEXT(WEEKNUM(J273),"00"),"")</f>
      </c>
      <c r="J273" s="42">
        <f>IF(AND(E273=Data!#REF!,Data!#REF!&lt;&gt;""),Data!#REF!,"")</f>
        <v>25569.041666666668</v>
      </c>
      <c r="K273" s="67">
        <f>IF(AND(E273=Data!#REF!,Data!#REF!&lt;&gt;""),Data!#REF!,"")</f>
        <v>25569.041666666668</v>
      </c>
      <c r="L273" s="68">
        <f>IF(E273=Data!#REF!,Data!#REF!,"")</f>
      </c>
      <c r="M273" s="68">
        <f>IF(E273=Data!#REF!,Data!#REF!,"")</f>
      </c>
      <c r="N273" s="69">
        <f>IF(AND(Data!#REF!&lt;&gt;"",Data!#REF!="Accept&amp;#233;"),Data!#REF!,"")</f>
      </c>
    </row>
    <row x14ac:dyDescent="0.25" r="274" customHeight="1" ht="19.5" hidden="1">
      <c r="A274" s="62">
        <f>IF(AND(Data!#REF!&lt;&gt;"",Data!#REF!="Accept&amp;#233;"),Data!#REF!,"")</f>
      </c>
      <c r="B274" s="62">
        <f>IF(AND(Data!#REF!&lt;&gt;"",Data!#REF!="Accept&amp;#233;"),Data!#REF!,"")</f>
      </c>
      <c r="C274" s="63">
        <f>IF(D274&lt;&gt;"","S"&amp;TEXT(WEEKNUM(D274),"00"),"")</f>
      </c>
      <c r="D274" s="42">
        <f>IF(AND(Data!#REF!&lt;&gt;"",Data!#REF!="Accept&amp;#233;"),Data!#REF!,"")</f>
        <v>25569.041666666668</v>
      </c>
      <c r="E274" s="64">
        <f>IF(AND(Data!#REF!&lt;&gt;"",Data!#REF!="Accept&amp;#233;"),Data!#REF!,"")</f>
      </c>
      <c r="F274" s="65">
        <f>IF(AND(Data!#REF!&lt;&gt;"",Data!#REF!="Accept&amp;#233;"),Data!#REF!,"")</f>
      </c>
      <c r="G274" s="66">
        <f>IF(Data!#REF!='Delivery Plan'!E274,Data!#REF!,"")</f>
      </c>
      <c r="H274" s="53"/>
      <c r="I274" s="63">
        <f>IF(J274&lt;&gt;"","S"&amp;TEXT(WEEKNUM(J274),"00"),"")</f>
      </c>
      <c r="J274" s="42">
        <f>IF(AND(E274=Data!#REF!,Data!#REF!&lt;&gt;""),Data!#REF!,"")</f>
        <v>25569.041666666668</v>
      </c>
      <c r="K274" s="67">
        <f>IF(AND(E274=Data!#REF!,Data!#REF!&lt;&gt;""),Data!#REF!,"")</f>
        <v>25569.041666666668</v>
      </c>
      <c r="L274" s="68">
        <f>IF(E274=Data!#REF!,Data!#REF!,"")</f>
      </c>
      <c r="M274" s="68">
        <f>IF(E274=Data!#REF!,Data!#REF!,"")</f>
      </c>
      <c r="N274" s="69">
        <f>IF(AND(Data!#REF!&lt;&gt;"",Data!#REF!="Accept&amp;#233;"),Data!#REF!,"")</f>
      </c>
    </row>
    <row x14ac:dyDescent="0.25" r="275" customHeight="1" ht="19.5" hidden="1">
      <c r="A275" s="62">
        <f>IF(AND(Data!#REF!&lt;&gt;"",Data!#REF!="Accept&amp;#233;"),Data!#REF!,"")</f>
      </c>
      <c r="B275" s="62">
        <f>IF(AND(Data!#REF!&lt;&gt;"",Data!#REF!="Accept&amp;#233;"),Data!#REF!,"")</f>
      </c>
      <c r="C275" s="63">
        <f>IF(D275&lt;&gt;"","S"&amp;TEXT(WEEKNUM(D275),"00"),"")</f>
      </c>
      <c r="D275" s="42">
        <f>IF(AND(Data!#REF!&lt;&gt;"",Data!#REF!="Accept&amp;#233;"),Data!#REF!,"")</f>
        <v>25569.041666666668</v>
      </c>
      <c r="E275" s="64">
        <f>IF(AND(Data!#REF!&lt;&gt;"",Data!#REF!="Accept&amp;#233;"),Data!#REF!,"")</f>
      </c>
      <c r="F275" s="65">
        <f>IF(AND(Data!#REF!&lt;&gt;"",Data!#REF!="Accept&amp;#233;"),Data!#REF!,"")</f>
      </c>
      <c r="G275" s="66">
        <f>IF(Data!#REF!='Delivery Plan'!E275,Data!#REF!,"")</f>
      </c>
      <c r="H275" s="53"/>
      <c r="I275" s="63">
        <f>IF(J275&lt;&gt;"","S"&amp;TEXT(WEEKNUM(J275),"00"),"")</f>
      </c>
      <c r="J275" s="42">
        <f>IF(AND(E275=Data!#REF!,Data!#REF!&lt;&gt;""),Data!#REF!,"")</f>
        <v>25569.041666666668</v>
      </c>
      <c r="K275" s="67">
        <f>IF(AND(E275=Data!#REF!,Data!#REF!&lt;&gt;""),Data!#REF!,"")</f>
        <v>25569.041666666668</v>
      </c>
      <c r="L275" s="68">
        <f>IF(E275=Data!#REF!,Data!#REF!,"")</f>
      </c>
      <c r="M275" s="68">
        <f>IF(E275=Data!#REF!,Data!#REF!,"")</f>
      </c>
      <c r="N275" s="69">
        <f>IF(AND(Data!#REF!&lt;&gt;"",Data!#REF!="Accept&amp;#233;"),Data!#REF!,"")</f>
      </c>
    </row>
    <row x14ac:dyDescent="0.25" r="276" customHeight="1" ht="19.5" hidden="1">
      <c r="A276" s="62">
        <f>IF(AND(Data!#REF!&lt;&gt;"",Data!#REF!="Accept&amp;#233;"),Data!#REF!,"")</f>
      </c>
      <c r="B276" s="62">
        <f>IF(AND(Data!#REF!&lt;&gt;"",Data!#REF!="Accept&amp;#233;"),Data!#REF!,"")</f>
      </c>
      <c r="C276" s="63">
        <f>IF(D276&lt;&gt;"","S"&amp;TEXT(WEEKNUM(D276),"00"),"")</f>
      </c>
      <c r="D276" s="42">
        <f>IF(AND(Data!#REF!&lt;&gt;"",Data!#REF!="Accept&amp;#233;"),Data!#REF!,"")</f>
        <v>25569.041666666668</v>
      </c>
      <c r="E276" s="64">
        <f>IF(AND(Data!#REF!&lt;&gt;"",Data!#REF!="Accept&amp;#233;"),Data!#REF!,"")</f>
      </c>
      <c r="F276" s="65">
        <f>IF(AND(Data!#REF!&lt;&gt;"",Data!#REF!="Accept&amp;#233;"),Data!#REF!,"")</f>
      </c>
      <c r="G276" s="66">
        <f>IF(Data!#REF!='Delivery Plan'!E276,Data!#REF!,"")</f>
      </c>
      <c r="H276" s="53"/>
      <c r="I276" s="63">
        <f>IF(J276&lt;&gt;"","S"&amp;TEXT(WEEKNUM(J276),"00"),"")</f>
      </c>
      <c r="J276" s="42">
        <f>IF(AND(E276=Data!#REF!,Data!#REF!&lt;&gt;""),Data!#REF!,"")</f>
        <v>25569.041666666668</v>
      </c>
      <c r="K276" s="67">
        <f>IF(AND(E276=Data!#REF!,Data!#REF!&lt;&gt;""),Data!#REF!,"")</f>
        <v>25569.041666666668</v>
      </c>
      <c r="L276" s="68">
        <f>IF(E276=Data!#REF!,Data!#REF!,"")</f>
      </c>
      <c r="M276" s="68">
        <f>IF(E276=Data!#REF!,Data!#REF!,"")</f>
      </c>
      <c r="N276" s="69">
        <f>IF(AND(Data!#REF!&lt;&gt;"",Data!#REF!="Accept&amp;#233;"),Data!#REF!,"")</f>
      </c>
    </row>
    <row x14ac:dyDescent="0.25" r="277" customHeight="1" ht="19.5" hidden="1">
      <c r="A277" s="62">
        <f>IF(AND(Data!#REF!&lt;&gt;"",Data!#REF!="Accept&amp;#233;"),Data!#REF!,"")</f>
      </c>
      <c r="B277" s="62">
        <f>IF(AND(Data!#REF!&lt;&gt;"",Data!#REF!="Accept&amp;#233;"),Data!#REF!,"")</f>
      </c>
      <c r="C277" s="63">
        <f>IF(D277&lt;&gt;"","S"&amp;TEXT(WEEKNUM(D277),"00"),"")</f>
      </c>
      <c r="D277" s="42">
        <f>IF(AND(Data!#REF!&lt;&gt;"",Data!#REF!="Accept&amp;#233;"),Data!#REF!,"")</f>
        <v>25569.041666666668</v>
      </c>
      <c r="E277" s="64">
        <f>IF(AND(Data!#REF!&lt;&gt;"",Data!#REF!="Accept&amp;#233;"),Data!#REF!,"")</f>
      </c>
      <c r="F277" s="65">
        <f>IF(AND(Data!#REF!&lt;&gt;"",Data!#REF!="Accept&amp;#233;"),Data!#REF!,"")</f>
      </c>
      <c r="G277" s="66">
        <f>IF(Data!#REF!='Delivery Plan'!E277,Data!#REF!,"")</f>
      </c>
      <c r="H277" s="53"/>
      <c r="I277" s="63">
        <f>IF(J277&lt;&gt;"","S"&amp;TEXT(WEEKNUM(J277),"00"),"")</f>
      </c>
      <c r="J277" s="42">
        <f>IF(AND(E277=Data!#REF!,Data!#REF!&lt;&gt;""),Data!#REF!,"")</f>
        <v>25569.041666666668</v>
      </c>
      <c r="K277" s="67">
        <f>IF(AND(E277=Data!#REF!,Data!#REF!&lt;&gt;""),Data!#REF!,"")</f>
        <v>25569.041666666668</v>
      </c>
      <c r="L277" s="68">
        <f>IF(E277=Data!#REF!,Data!#REF!,"")</f>
      </c>
      <c r="M277" s="68">
        <f>IF(E277=Data!#REF!,Data!#REF!,"")</f>
      </c>
      <c r="N277" s="69">
        <f>IF(AND(Data!#REF!&lt;&gt;"",Data!#REF!="Accept&amp;#233;"),Data!#REF!,"")</f>
      </c>
    </row>
    <row x14ac:dyDescent="0.25" r="278" customHeight="1" ht="19.5" hidden="1">
      <c r="A278" s="62">
        <f>IF(AND(Data!#REF!&lt;&gt;"",Data!#REF!="Accept&amp;#233;"),Data!#REF!,"")</f>
      </c>
      <c r="B278" s="62">
        <f>IF(AND(Data!#REF!&lt;&gt;"",Data!#REF!="Accept&amp;#233;"),Data!#REF!,"")</f>
      </c>
      <c r="C278" s="63">
        <f>IF(D278&lt;&gt;"","S"&amp;TEXT(WEEKNUM(D278),"00"),"")</f>
      </c>
      <c r="D278" s="42">
        <f>IF(AND(Data!#REF!&lt;&gt;"",Data!#REF!="Accept&amp;#233;"),Data!#REF!,"")</f>
        <v>25569.041666666668</v>
      </c>
      <c r="E278" s="64">
        <f>IF(AND(Data!#REF!&lt;&gt;"",Data!#REF!="Accept&amp;#233;"),Data!#REF!,"")</f>
      </c>
      <c r="F278" s="65">
        <f>IF(AND(Data!#REF!&lt;&gt;"",Data!#REF!="Accept&amp;#233;"),Data!#REF!,"")</f>
      </c>
      <c r="G278" s="66">
        <f>IF(Data!#REF!='Delivery Plan'!E278,Data!#REF!,"")</f>
      </c>
      <c r="H278" s="53"/>
      <c r="I278" s="63">
        <f>IF(J278&lt;&gt;"","S"&amp;TEXT(WEEKNUM(J278),"00"),"")</f>
      </c>
      <c r="J278" s="42">
        <f>IF(AND(E278=Data!#REF!,Data!#REF!&lt;&gt;""),Data!#REF!,"")</f>
        <v>25569.041666666668</v>
      </c>
      <c r="K278" s="67">
        <f>IF(AND(E278=Data!#REF!,Data!#REF!&lt;&gt;""),Data!#REF!,"")</f>
        <v>25569.041666666668</v>
      </c>
      <c r="L278" s="68">
        <f>IF(E278=Data!#REF!,Data!#REF!,"")</f>
      </c>
      <c r="M278" s="68">
        <f>IF(E278=Data!#REF!,Data!#REF!,"")</f>
      </c>
      <c r="N278" s="69">
        <f>IF(AND(Data!#REF!&lt;&gt;"",Data!#REF!="Accept&amp;#233;"),Data!#REF!,"")</f>
      </c>
    </row>
    <row x14ac:dyDescent="0.25" r="279" customHeight="1" ht="19.5" hidden="1">
      <c r="A279" s="62">
        <f>IF(AND(Data!#REF!&lt;&gt;"",Data!#REF!="Accept&amp;#233;"),Data!#REF!,"")</f>
      </c>
      <c r="B279" s="62">
        <f>IF(AND(Data!#REF!&lt;&gt;"",Data!#REF!="Accept&amp;#233;"),Data!#REF!,"")</f>
      </c>
      <c r="C279" s="63">
        <f>IF(D279&lt;&gt;"","S"&amp;TEXT(WEEKNUM(D279),"00"),"")</f>
      </c>
      <c r="D279" s="42">
        <f>IF(AND(Data!#REF!&lt;&gt;"",Data!#REF!="Accept&amp;#233;"),Data!#REF!,"")</f>
        <v>25569.041666666668</v>
      </c>
      <c r="E279" s="64">
        <f>IF(AND(Data!#REF!&lt;&gt;"",Data!#REF!="Accept&amp;#233;"),Data!#REF!,"")</f>
      </c>
      <c r="F279" s="65">
        <f>IF(AND(Data!#REF!&lt;&gt;"",Data!#REF!="Accept&amp;#233;"),Data!#REF!,"")</f>
      </c>
      <c r="G279" s="66">
        <f>IF(Data!#REF!='Delivery Plan'!E279,Data!#REF!,"")</f>
      </c>
      <c r="H279" s="53"/>
      <c r="I279" s="63">
        <f>IF(J279&lt;&gt;"","S"&amp;TEXT(WEEKNUM(J279),"00"),"")</f>
      </c>
      <c r="J279" s="42">
        <f>IF(AND(E279=Data!#REF!,Data!#REF!&lt;&gt;""),Data!#REF!,"")</f>
        <v>25569.041666666668</v>
      </c>
      <c r="K279" s="67">
        <f>IF(AND(E279=Data!#REF!,Data!#REF!&lt;&gt;""),Data!#REF!,"")</f>
        <v>25569.041666666668</v>
      </c>
      <c r="L279" s="68">
        <f>IF(E279=Data!#REF!,Data!#REF!,"")</f>
      </c>
      <c r="M279" s="68">
        <f>IF(E279=Data!#REF!,Data!#REF!,"")</f>
      </c>
      <c r="N279" s="69">
        <f>IF(AND(Data!#REF!&lt;&gt;"",Data!#REF!="Accept&amp;#233;"),Data!#REF!,"")</f>
      </c>
    </row>
    <row x14ac:dyDescent="0.25" r="280" customHeight="1" ht="19.5" hidden="1">
      <c r="A280" s="62">
        <f>IF(AND(Data!#REF!&lt;&gt;"",Data!#REF!="Accept&amp;#233;"),Data!#REF!,"")</f>
      </c>
      <c r="B280" s="62">
        <f>IF(AND(Data!#REF!&lt;&gt;"",Data!#REF!="Accept&amp;#233;"),Data!#REF!,"")</f>
      </c>
      <c r="C280" s="63">
        <f>IF(D280&lt;&gt;"","S"&amp;TEXT(WEEKNUM(D280),"00"),"")</f>
      </c>
      <c r="D280" s="42">
        <f>IF(AND(Data!#REF!&lt;&gt;"",Data!#REF!="Accept&amp;#233;"),Data!#REF!,"")</f>
        <v>25569.041666666668</v>
      </c>
      <c r="E280" s="64">
        <f>IF(AND(Data!#REF!&lt;&gt;"",Data!#REF!="Accept&amp;#233;"),Data!#REF!,"")</f>
      </c>
      <c r="F280" s="65">
        <f>IF(AND(Data!#REF!&lt;&gt;"",Data!#REF!="Accept&amp;#233;"),Data!#REF!,"")</f>
      </c>
      <c r="G280" s="66">
        <f>IF(Data!#REF!='Delivery Plan'!E280,Data!#REF!,"")</f>
      </c>
      <c r="H280" s="53"/>
      <c r="I280" s="63">
        <f>IF(J280&lt;&gt;"","S"&amp;TEXT(WEEKNUM(J280),"00"),"")</f>
      </c>
      <c r="J280" s="42">
        <f>IF(AND(E280=Data!#REF!,Data!#REF!&lt;&gt;""),Data!#REF!,"")</f>
        <v>25569.041666666668</v>
      </c>
      <c r="K280" s="67">
        <f>IF(AND(E280=Data!#REF!,Data!#REF!&lt;&gt;""),Data!#REF!,"")</f>
        <v>25569.041666666668</v>
      </c>
      <c r="L280" s="68">
        <f>IF(E280=Data!#REF!,Data!#REF!,"")</f>
      </c>
      <c r="M280" s="68">
        <f>IF(E280=Data!#REF!,Data!#REF!,"")</f>
      </c>
      <c r="N280" s="69">
        <f>IF(AND(Data!#REF!&lt;&gt;"",Data!#REF!="Accept&amp;#233;"),Data!#REF!,"")</f>
      </c>
    </row>
    <row x14ac:dyDescent="0.25" r="281" customHeight="1" ht="19.5" hidden="1">
      <c r="A281" s="62">
        <f>IF(AND(Data!#REF!&lt;&gt;"",Data!#REF!="Accept&amp;#233;"),Data!#REF!,"")</f>
      </c>
      <c r="B281" s="62">
        <f>IF(AND(Data!#REF!&lt;&gt;"",Data!#REF!="Accept&amp;#233;"),Data!#REF!,"")</f>
      </c>
      <c r="C281" s="63">
        <f>IF(D281&lt;&gt;"","S"&amp;TEXT(WEEKNUM(D281),"00"),"")</f>
      </c>
      <c r="D281" s="42">
        <f>IF(AND(Data!#REF!&lt;&gt;"",Data!#REF!="Accept&amp;#233;"),Data!#REF!,"")</f>
        <v>25569.041666666668</v>
      </c>
      <c r="E281" s="64">
        <f>IF(AND(Data!#REF!&lt;&gt;"",Data!#REF!="Accept&amp;#233;"),Data!#REF!,"")</f>
      </c>
      <c r="F281" s="65">
        <f>IF(AND(Data!#REF!&lt;&gt;"",Data!#REF!="Accept&amp;#233;"),Data!#REF!,"")</f>
      </c>
      <c r="G281" s="66">
        <f>IF(Data!#REF!='Delivery Plan'!E281,Data!#REF!,"")</f>
      </c>
      <c r="H281" s="53"/>
      <c r="I281" s="63">
        <f>IF(J281&lt;&gt;"","S"&amp;TEXT(WEEKNUM(J281),"00"),"")</f>
      </c>
      <c r="J281" s="42">
        <f>IF(AND(E281=Data!#REF!,Data!#REF!&lt;&gt;""),Data!#REF!,"")</f>
        <v>25569.041666666668</v>
      </c>
      <c r="K281" s="67">
        <f>IF(AND(E281=Data!#REF!,Data!#REF!&lt;&gt;""),Data!#REF!,"")</f>
        <v>25569.041666666668</v>
      </c>
      <c r="L281" s="68">
        <f>IF(E281=Data!#REF!,Data!#REF!,"")</f>
      </c>
      <c r="M281" s="68">
        <f>IF(E281=Data!#REF!,Data!#REF!,"")</f>
      </c>
      <c r="N281" s="69">
        <f>IF(AND(Data!#REF!&lt;&gt;"",Data!#REF!="Accept&amp;#233;"),Data!#REF!,"")</f>
      </c>
    </row>
    <row x14ac:dyDescent="0.25" r="282" customHeight="1" ht="19.5" hidden="1">
      <c r="A282" s="62">
        <f>IF(AND(Data!#REF!&lt;&gt;"",Data!#REF!="Accept&amp;#233;"),Data!#REF!,"")</f>
      </c>
      <c r="B282" s="62">
        <f>IF(AND(Data!#REF!&lt;&gt;"",Data!#REF!="Accept&amp;#233;"),Data!#REF!,"")</f>
      </c>
      <c r="C282" s="63">
        <f>IF(D282&lt;&gt;"","S"&amp;TEXT(WEEKNUM(D282),"00"),"")</f>
      </c>
      <c r="D282" s="42">
        <f>IF(AND(Data!#REF!&lt;&gt;"",Data!#REF!="Accept&amp;#233;"),Data!#REF!,"")</f>
        <v>25569.041666666668</v>
      </c>
      <c r="E282" s="64">
        <f>IF(AND(Data!#REF!&lt;&gt;"",Data!#REF!="Accept&amp;#233;"),Data!#REF!,"")</f>
      </c>
      <c r="F282" s="65">
        <f>IF(AND(Data!#REF!&lt;&gt;"",Data!#REF!="Accept&amp;#233;"),Data!#REF!,"")</f>
      </c>
      <c r="G282" s="66">
        <f>IF(Data!#REF!='Delivery Plan'!E282,Data!#REF!,"")</f>
      </c>
      <c r="H282" s="53"/>
      <c r="I282" s="63">
        <f>IF(J282&lt;&gt;"","S"&amp;TEXT(WEEKNUM(J282),"00"),"")</f>
      </c>
      <c r="J282" s="42">
        <f>IF(AND(E282=Data!#REF!,Data!#REF!&lt;&gt;""),Data!#REF!,"")</f>
        <v>25569.041666666668</v>
      </c>
      <c r="K282" s="67">
        <f>IF(AND(E282=Data!#REF!,Data!#REF!&lt;&gt;""),Data!#REF!,"")</f>
        <v>25569.041666666668</v>
      </c>
      <c r="L282" s="68">
        <f>IF(E282=Data!#REF!,Data!#REF!,"")</f>
      </c>
      <c r="M282" s="68">
        <f>IF(E282=Data!#REF!,Data!#REF!,"")</f>
      </c>
      <c r="N282" s="69">
        <f>IF(AND(Data!#REF!&lt;&gt;"",Data!#REF!="Accept&amp;#233;"),Data!#REF!,"")</f>
      </c>
    </row>
    <row x14ac:dyDescent="0.25" r="283" customHeight="1" ht="19.5" hidden="1">
      <c r="A283" s="62">
        <f>IF(AND(Data!#REF!&lt;&gt;"",Data!#REF!="Accept&amp;#233;"),Data!#REF!,"")</f>
      </c>
      <c r="B283" s="62">
        <f>IF(AND(Data!#REF!&lt;&gt;"",Data!#REF!="Accept&amp;#233;"),Data!#REF!,"")</f>
      </c>
      <c r="C283" s="63">
        <f>IF(D283&lt;&gt;"","S"&amp;TEXT(WEEKNUM(D283),"00"),"")</f>
      </c>
      <c r="D283" s="42">
        <f>IF(AND(Data!#REF!&lt;&gt;"",Data!#REF!="Accept&amp;#233;"),Data!#REF!,"")</f>
        <v>25569.041666666668</v>
      </c>
      <c r="E283" s="64">
        <f>IF(AND(Data!#REF!&lt;&gt;"",Data!#REF!="Accept&amp;#233;"),Data!#REF!,"")</f>
      </c>
      <c r="F283" s="65">
        <f>IF(AND(Data!#REF!&lt;&gt;"",Data!#REF!="Accept&amp;#233;"),Data!#REF!,"")</f>
      </c>
      <c r="G283" s="66">
        <f>IF(Data!#REF!='Delivery Plan'!E283,Data!#REF!,"")</f>
      </c>
      <c r="H283" s="53"/>
      <c r="I283" s="63">
        <f>IF(J283&lt;&gt;"","S"&amp;TEXT(WEEKNUM(J283),"00"),"")</f>
      </c>
      <c r="J283" s="42">
        <f>IF(AND(E283=Data!#REF!,Data!#REF!&lt;&gt;""),Data!#REF!,"")</f>
        <v>25569.041666666668</v>
      </c>
      <c r="K283" s="67">
        <f>IF(AND(E283=Data!#REF!,Data!#REF!&lt;&gt;""),Data!#REF!,"")</f>
        <v>25569.041666666668</v>
      </c>
      <c r="L283" s="68">
        <f>IF(E283=Data!#REF!,Data!#REF!,"")</f>
      </c>
      <c r="M283" s="68">
        <f>IF(E283=Data!#REF!,Data!#REF!,"")</f>
      </c>
      <c r="N283" s="69">
        <f>IF(AND(Data!#REF!&lt;&gt;"",Data!#REF!="Accept&amp;#233;"),Data!#REF!,"")</f>
      </c>
    </row>
    <row x14ac:dyDescent="0.25" r="284" customHeight="1" ht="19.5" hidden="1">
      <c r="A284" s="62">
        <f>IF(AND(Data!#REF!&lt;&gt;"",Data!#REF!="Accept&amp;#233;"),Data!#REF!,"")</f>
      </c>
      <c r="B284" s="62">
        <f>IF(AND(Data!#REF!&lt;&gt;"",Data!#REF!="Accept&amp;#233;"),Data!#REF!,"")</f>
      </c>
      <c r="C284" s="63">
        <f>IF(D284&lt;&gt;"","S"&amp;TEXT(WEEKNUM(D284),"00"),"")</f>
      </c>
      <c r="D284" s="42">
        <f>IF(AND(Data!#REF!&lt;&gt;"",Data!#REF!="Accept&amp;#233;"),Data!#REF!,"")</f>
        <v>25569.041666666668</v>
      </c>
      <c r="E284" s="64">
        <f>IF(AND(Data!#REF!&lt;&gt;"",Data!#REF!="Accept&amp;#233;"),Data!#REF!,"")</f>
      </c>
      <c r="F284" s="65">
        <f>IF(AND(Data!#REF!&lt;&gt;"",Data!#REF!="Accept&amp;#233;"),Data!#REF!,"")</f>
      </c>
      <c r="G284" s="66">
        <f>IF(Data!#REF!='Delivery Plan'!E284,Data!#REF!,"")</f>
      </c>
      <c r="H284" s="53"/>
      <c r="I284" s="63">
        <f>IF(J284&lt;&gt;"","S"&amp;TEXT(WEEKNUM(J284),"00"),"")</f>
      </c>
      <c r="J284" s="42">
        <f>IF(AND(E284=Data!#REF!,Data!#REF!&lt;&gt;""),Data!#REF!,"")</f>
        <v>25569.041666666668</v>
      </c>
      <c r="K284" s="67">
        <f>IF(AND(E284=Data!#REF!,Data!#REF!&lt;&gt;""),Data!#REF!,"")</f>
        <v>25569.041666666668</v>
      </c>
      <c r="L284" s="68">
        <f>IF(E284=Data!#REF!,Data!#REF!,"")</f>
      </c>
      <c r="M284" s="68">
        <f>IF(E284=Data!#REF!,Data!#REF!,"")</f>
      </c>
      <c r="N284" s="69">
        <f>IF(AND(Data!#REF!&lt;&gt;"",Data!#REF!="Accept&amp;#233;"),Data!#REF!,"")</f>
      </c>
    </row>
    <row x14ac:dyDescent="0.25" r="285" customHeight="1" ht="19.5" hidden="1">
      <c r="A285" s="62">
        <f>IF(AND(Data!#REF!&lt;&gt;"",Data!#REF!="Accept&amp;#233;"),Data!#REF!,"")</f>
      </c>
      <c r="B285" s="62">
        <f>IF(AND(Data!#REF!&lt;&gt;"",Data!#REF!="Accept&amp;#233;"),Data!#REF!,"")</f>
      </c>
      <c r="C285" s="63">
        <f>IF(D285&lt;&gt;"","S"&amp;TEXT(WEEKNUM(D285),"00"),"")</f>
      </c>
      <c r="D285" s="42">
        <f>IF(AND(Data!#REF!&lt;&gt;"",Data!#REF!="Accept&amp;#233;"),Data!#REF!,"")</f>
        <v>25569.041666666668</v>
      </c>
      <c r="E285" s="64">
        <f>IF(AND(Data!#REF!&lt;&gt;"",Data!#REF!="Accept&amp;#233;"),Data!#REF!,"")</f>
      </c>
      <c r="F285" s="65">
        <f>IF(AND(Data!#REF!&lt;&gt;"",Data!#REF!="Accept&amp;#233;"),Data!#REF!,"")</f>
      </c>
      <c r="G285" s="66">
        <f>IF(Data!#REF!='Delivery Plan'!E285,Data!#REF!,"")</f>
      </c>
      <c r="H285" s="53"/>
      <c r="I285" s="63">
        <f>IF(J285&lt;&gt;"","S"&amp;TEXT(WEEKNUM(J285),"00"),"")</f>
      </c>
      <c r="J285" s="42">
        <f>IF(AND(E285=Data!#REF!,Data!#REF!&lt;&gt;""),Data!#REF!,"")</f>
        <v>25569.041666666668</v>
      </c>
      <c r="K285" s="67">
        <f>IF(AND(E285=Data!#REF!,Data!#REF!&lt;&gt;""),Data!#REF!,"")</f>
        <v>25569.041666666668</v>
      </c>
      <c r="L285" s="68">
        <f>IF(E285=Data!#REF!,Data!#REF!,"")</f>
      </c>
      <c r="M285" s="68">
        <f>IF(E285=Data!#REF!,Data!#REF!,"")</f>
      </c>
      <c r="N285" s="69">
        <f>IF(AND(Data!#REF!&lt;&gt;"",Data!#REF!="Accept&amp;#233;"),Data!#REF!,"")</f>
      </c>
    </row>
    <row x14ac:dyDescent="0.25" r="286" customHeight="1" ht="19.5" hidden="1">
      <c r="A286" s="62">
        <f>IF(AND(Data!#REF!&lt;&gt;"",Data!#REF!="Accept&amp;#233;"),Data!#REF!,"")</f>
      </c>
      <c r="B286" s="62">
        <f>IF(AND(Data!#REF!&lt;&gt;"",Data!#REF!="Accept&amp;#233;"),Data!#REF!,"")</f>
      </c>
      <c r="C286" s="63">
        <f>IF(D286&lt;&gt;"","S"&amp;TEXT(WEEKNUM(D286),"00"),"")</f>
      </c>
      <c r="D286" s="42">
        <f>IF(AND(Data!#REF!&lt;&gt;"",Data!#REF!="Accept&amp;#233;"),Data!#REF!,"")</f>
        <v>25569.041666666668</v>
      </c>
      <c r="E286" s="64">
        <f>IF(AND(Data!#REF!&lt;&gt;"",Data!#REF!="Accept&amp;#233;"),Data!#REF!,"")</f>
      </c>
      <c r="F286" s="65">
        <f>IF(AND(Data!#REF!&lt;&gt;"",Data!#REF!="Accept&amp;#233;"),Data!#REF!,"")</f>
      </c>
      <c r="G286" s="66">
        <f>IF(Data!#REF!='Delivery Plan'!E286,Data!#REF!,"")</f>
      </c>
      <c r="H286" s="53"/>
      <c r="I286" s="63">
        <f>IF(J286&lt;&gt;"","S"&amp;TEXT(WEEKNUM(J286),"00"),"")</f>
      </c>
      <c r="J286" s="42">
        <f>IF(AND(E286=Data!#REF!,Data!#REF!&lt;&gt;""),Data!#REF!,"")</f>
        <v>25569.041666666668</v>
      </c>
      <c r="K286" s="67">
        <f>IF(AND(E286=Data!#REF!,Data!#REF!&lt;&gt;""),Data!#REF!,"")</f>
        <v>25569.041666666668</v>
      </c>
      <c r="L286" s="68">
        <f>IF(E286=Data!#REF!,Data!#REF!,"")</f>
      </c>
      <c r="M286" s="68">
        <f>IF(E286=Data!#REF!,Data!#REF!,"")</f>
      </c>
      <c r="N286" s="69">
        <f>IF(AND(Data!#REF!&lt;&gt;"",Data!#REF!="Accept&amp;#233;"),Data!#REF!,"")</f>
      </c>
    </row>
    <row x14ac:dyDescent="0.25" r="287" customHeight="1" ht="19.5" hidden="1">
      <c r="A287" s="62">
        <f>IF(AND(Data!#REF!&lt;&gt;"",Data!#REF!="Accept&amp;#233;"),Data!#REF!,"")</f>
      </c>
      <c r="B287" s="62">
        <f>IF(AND(Data!#REF!&lt;&gt;"",Data!#REF!="Accept&amp;#233;"),Data!#REF!,"")</f>
      </c>
      <c r="C287" s="63">
        <f>IF(D287&lt;&gt;"","S"&amp;TEXT(WEEKNUM(D287),"00"),"")</f>
      </c>
      <c r="D287" s="42">
        <f>IF(AND(Data!#REF!&lt;&gt;"",Data!#REF!="Accept&amp;#233;"),Data!#REF!,"")</f>
        <v>25569.041666666668</v>
      </c>
      <c r="E287" s="64">
        <f>IF(AND(Data!#REF!&lt;&gt;"",Data!#REF!="Accept&amp;#233;"),Data!#REF!,"")</f>
      </c>
      <c r="F287" s="65">
        <f>IF(AND(Data!#REF!&lt;&gt;"",Data!#REF!="Accept&amp;#233;"),Data!#REF!,"")</f>
      </c>
      <c r="G287" s="66">
        <f>IF(Data!#REF!='Delivery Plan'!E287,Data!#REF!,"")</f>
      </c>
      <c r="H287" s="53"/>
      <c r="I287" s="63">
        <f>IF(J287&lt;&gt;"","S"&amp;TEXT(WEEKNUM(J287),"00"),"")</f>
      </c>
      <c r="J287" s="42">
        <f>IF(AND(E287=Data!#REF!,Data!#REF!&lt;&gt;""),Data!#REF!,"")</f>
        <v>25569.041666666668</v>
      </c>
      <c r="K287" s="67">
        <f>IF(AND(E287=Data!#REF!,Data!#REF!&lt;&gt;""),Data!#REF!,"")</f>
        <v>25569.041666666668</v>
      </c>
      <c r="L287" s="68">
        <f>IF(E287=Data!#REF!,Data!#REF!,"")</f>
      </c>
      <c r="M287" s="68">
        <f>IF(E287=Data!#REF!,Data!#REF!,"")</f>
      </c>
      <c r="N287" s="69">
        <f>IF(AND(Data!#REF!&lt;&gt;"",Data!#REF!="Accept&amp;#233;"),Data!#REF!,"")</f>
      </c>
    </row>
    <row x14ac:dyDescent="0.25" r="288" customHeight="1" ht="19.5" hidden="1">
      <c r="A288" s="62">
        <f>IF(AND(Data!#REF!&lt;&gt;"",Data!#REF!="Accept&amp;#233;"),Data!#REF!,"")</f>
      </c>
      <c r="B288" s="62">
        <f>IF(AND(Data!#REF!&lt;&gt;"",Data!#REF!="Accept&amp;#233;"),Data!#REF!,"")</f>
      </c>
      <c r="C288" s="63">
        <f>IF(D288&lt;&gt;"","S"&amp;TEXT(WEEKNUM(D288),"00"),"")</f>
      </c>
      <c r="D288" s="42">
        <f>IF(AND(Data!#REF!&lt;&gt;"",Data!#REF!="Accept&amp;#233;"),Data!#REF!,"")</f>
        <v>25569.041666666668</v>
      </c>
      <c r="E288" s="64">
        <f>IF(AND(Data!#REF!&lt;&gt;"",Data!#REF!="Accept&amp;#233;"),Data!#REF!,"")</f>
      </c>
      <c r="F288" s="65">
        <f>IF(AND(Data!#REF!&lt;&gt;"",Data!#REF!="Accept&amp;#233;"),Data!#REF!,"")</f>
      </c>
      <c r="G288" s="66">
        <f>IF(Data!#REF!='Delivery Plan'!E288,Data!#REF!,"")</f>
      </c>
      <c r="H288" s="53"/>
      <c r="I288" s="63">
        <f>IF(J288&lt;&gt;"","S"&amp;TEXT(WEEKNUM(J288),"00"),"")</f>
      </c>
      <c r="J288" s="42">
        <f>IF(AND(E288=Data!#REF!,Data!#REF!&lt;&gt;""),Data!#REF!,"")</f>
        <v>25569.041666666668</v>
      </c>
      <c r="K288" s="67">
        <f>IF(AND(E288=Data!#REF!,Data!#REF!&lt;&gt;""),Data!#REF!,"")</f>
        <v>25569.041666666668</v>
      </c>
      <c r="L288" s="68">
        <f>IF(E288=Data!#REF!,Data!#REF!,"")</f>
      </c>
      <c r="M288" s="68">
        <f>IF(E288=Data!#REF!,Data!#REF!,"")</f>
      </c>
      <c r="N288" s="69">
        <f>IF(AND(Data!#REF!&lt;&gt;"",Data!#REF!="Accept&amp;#233;"),Data!#REF!,"")</f>
      </c>
    </row>
    <row x14ac:dyDescent="0.25" r="289" customHeight="1" ht="19.5" hidden="1">
      <c r="A289" s="62">
        <f>IF(AND(Data!#REF!&lt;&gt;"",Data!#REF!="Accept&amp;#233;"),Data!#REF!,"")</f>
      </c>
      <c r="B289" s="62">
        <f>IF(AND(Data!#REF!&lt;&gt;"",Data!#REF!="Accept&amp;#233;"),Data!#REF!,"")</f>
      </c>
      <c r="C289" s="63">
        <f>IF(D289&lt;&gt;"","S"&amp;TEXT(WEEKNUM(D289),"00"),"")</f>
      </c>
      <c r="D289" s="42">
        <f>IF(AND(Data!#REF!&lt;&gt;"",Data!#REF!="Accept&amp;#233;"),Data!#REF!,"")</f>
        <v>25569.041666666668</v>
      </c>
      <c r="E289" s="64">
        <f>IF(AND(Data!#REF!&lt;&gt;"",Data!#REF!="Accept&amp;#233;"),Data!#REF!,"")</f>
      </c>
      <c r="F289" s="65">
        <f>IF(AND(Data!#REF!&lt;&gt;"",Data!#REF!="Accept&amp;#233;"),Data!#REF!,"")</f>
      </c>
      <c r="G289" s="66">
        <f>IF(Data!#REF!='Delivery Plan'!E289,Data!#REF!,"")</f>
      </c>
      <c r="H289" s="53"/>
      <c r="I289" s="63">
        <f>IF(J289&lt;&gt;"","S"&amp;TEXT(WEEKNUM(J289),"00"),"")</f>
      </c>
      <c r="J289" s="42">
        <f>IF(AND(E289=Data!#REF!,Data!#REF!&lt;&gt;""),Data!#REF!,"")</f>
        <v>25569.041666666668</v>
      </c>
      <c r="K289" s="67">
        <f>IF(AND(E289=Data!#REF!,Data!#REF!&lt;&gt;""),Data!#REF!,"")</f>
        <v>25569.041666666668</v>
      </c>
      <c r="L289" s="68">
        <f>IF(E289=Data!#REF!,Data!#REF!,"")</f>
      </c>
      <c r="M289" s="68">
        <f>IF(E289=Data!#REF!,Data!#REF!,"")</f>
      </c>
      <c r="N289" s="69">
        <f>IF(AND(Data!#REF!&lt;&gt;"",Data!#REF!="Accept&amp;#233;"),Data!#REF!,"")</f>
      </c>
    </row>
    <row x14ac:dyDescent="0.25" r="290" customHeight="1" ht="19.5" hidden="1">
      <c r="A290" s="62">
        <f>IF(AND(Data!#REF!&lt;&gt;"",Data!#REF!="Accept&amp;#233;"),Data!#REF!,"")</f>
      </c>
      <c r="B290" s="62">
        <f>IF(AND(Data!#REF!&lt;&gt;"",Data!#REF!="Accept&amp;#233;"),Data!#REF!,"")</f>
      </c>
      <c r="C290" s="63">
        <f>IF(D290&lt;&gt;"","S"&amp;TEXT(WEEKNUM(D290),"00"),"")</f>
      </c>
      <c r="D290" s="42">
        <f>IF(AND(Data!#REF!&lt;&gt;"",Data!#REF!="Accept&amp;#233;"),Data!#REF!,"")</f>
        <v>25569.041666666668</v>
      </c>
      <c r="E290" s="64">
        <f>IF(AND(Data!#REF!&lt;&gt;"",Data!#REF!="Accept&amp;#233;"),Data!#REF!,"")</f>
      </c>
      <c r="F290" s="65">
        <f>IF(AND(Data!#REF!&lt;&gt;"",Data!#REF!="Accept&amp;#233;"),Data!#REF!,"")</f>
      </c>
      <c r="G290" s="66">
        <f>IF(Data!#REF!='Delivery Plan'!E290,Data!#REF!,"")</f>
      </c>
      <c r="H290" s="53"/>
      <c r="I290" s="63">
        <f>IF(J290&lt;&gt;"","S"&amp;TEXT(WEEKNUM(J290),"00"),"")</f>
      </c>
      <c r="J290" s="42">
        <f>IF(AND(E290=Data!#REF!,Data!#REF!&lt;&gt;""),Data!#REF!,"")</f>
        <v>25569.041666666668</v>
      </c>
      <c r="K290" s="67">
        <f>IF(AND(E290=Data!#REF!,Data!#REF!&lt;&gt;""),Data!#REF!,"")</f>
        <v>25569.041666666668</v>
      </c>
      <c r="L290" s="68">
        <f>IF(E290=Data!#REF!,Data!#REF!,"")</f>
      </c>
      <c r="M290" s="68">
        <f>IF(E290=Data!#REF!,Data!#REF!,"")</f>
      </c>
      <c r="N290" s="69">
        <f>IF(AND(Data!#REF!&lt;&gt;"",Data!#REF!="Accept&amp;#233;"),Data!#REF!,"")</f>
      </c>
    </row>
    <row x14ac:dyDescent="0.25" r="291" customHeight="1" ht="19.5" hidden="1">
      <c r="A291" s="62">
        <f>IF(AND(Data!#REF!&lt;&gt;"",Data!#REF!="Accept&amp;#233;"),Data!#REF!,"")</f>
      </c>
      <c r="B291" s="62">
        <f>IF(AND(Data!#REF!&lt;&gt;"",Data!#REF!="Accept&amp;#233;"),Data!#REF!,"")</f>
      </c>
      <c r="C291" s="63">
        <f>IF(D291&lt;&gt;"","S"&amp;TEXT(WEEKNUM(D291),"00"),"")</f>
      </c>
      <c r="D291" s="42">
        <f>IF(AND(Data!#REF!&lt;&gt;"",Data!#REF!="Accept&amp;#233;"),Data!#REF!,"")</f>
        <v>25569.041666666668</v>
      </c>
      <c r="E291" s="64">
        <f>IF(AND(Data!#REF!&lt;&gt;"",Data!#REF!="Accept&amp;#233;"),Data!#REF!,"")</f>
      </c>
      <c r="F291" s="65">
        <f>IF(AND(Data!#REF!&lt;&gt;"",Data!#REF!="Accept&amp;#233;"),Data!#REF!,"")</f>
      </c>
      <c r="G291" s="66">
        <f>IF(Data!#REF!='Delivery Plan'!E291,Data!#REF!,"")</f>
      </c>
      <c r="H291" s="53"/>
      <c r="I291" s="63">
        <f>IF(J291&lt;&gt;"","S"&amp;TEXT(WEEKNUM(J291),"00"),"")</f>
      </c>
      <c r="J291" s="42">
        <f>IF(AND(E291=Data!#REF!,Data!#REF!&lt;&gt;""),Data!#REF!,"")</f>
        <v>25569.041666666668</v>
      </c>
      <c r="K291" s="67">
        <f>IF(AND(E291=Data!#REF!,Data!#REF!&lt;&gt;""),Data!#REF!,"")</f>
        <v>25569.041666666668</v>
      </c>
      <c r="L291" s="68">
        <f>IF(E291=Data!#REF!,Data!#REF!,"")</f>
      </c>
      <c r="M291" s="68">
        <f>IF(E291=Data!#REF!,Data!#REF!,"")</f>
      </c>
      <c r="N291" s="69">
        <f>IF(AND(Data!#REF!&lt;&gt;"",Data!#REF!="Accept&amp;#233;"),Data!#REF!,"")</f>
      </c>
    </row>
    <row x14ac:dyDescent="0.25" r="292" customHeight="1" ht="19.5" hidden="1">
      <c r="A292" s="62">
        <f>IF(AND(Data!#REF!&lt;&gt;"",Data!#REF!="Accept&amp;#233;"),Data!#REF!,"")</f>
      </c>
      <c r="B292" s="62">
        <f>IF(AND(Data!#REF!&lt;&gt;"",Data!#REF!="Accept&amp;#233;"),Data!#REF!,"")</f>
      </c>
      <c r="C292" s="63">
        <f>IF(D292&lt;&gt;"","S"&amp;TEXT(WEEKNUM(D292),"00"),"")</f>
      </c>
      <c r="D292" s="42">
        <f>IF(AND(Data!#REF!&lt;&gt;"",Data!#REF!="Accept&amp;#233;"),Data!#REF!,"")</f>
        <v>25569.041666666668</v>
      </c>
      <c r="E292" s="64">
        <f>IF(AND(Data!#REF!&lt;&gt;"",Data!#REF!="Accept&amp;#233;"),Data!#REF!,"")</f>
      </c>
      <c r="F292" s="65">
        <f>IF(AND(Data!#REF!&lt;&gt;"",Data!#REF!="Accept&amp;#233;"),Data!#REF!,"")</f>
      </c>
      <c r="G292" s="66">
        <f>IF(Data!#REF!='Delivery Plan'!E292,Data!#REF!,"")</f>
      </c>
      <c r="H292" s="53"/>
      <c r="I292" s="63">
        <f>IF(J292&lt;&gt;"","S"&amp;TEXT(WEEKNUM(J292),"00"),"")</f>
      </c>
      <c r="J292" s="42">
        <f>IF(AND(E292=Data!#REF!,Data!#REF!&lt;&gt;""),Data!#REF!,"")</f>
        <v>25569.041666666668</v>
      </c>
      <c r="K292" s="67">
        <f>IF(AND(E292=Data!#REF!,Data!#REF!&lt;&gt;""),Data!#REF!,"")</f>
        <v>25569.041666666668</v>
      </c>
      <c r="L292" s="68">
        <f>IF(E292=Data!#REF!,Data!#REF!,"")</f>
      </c>
      <c r="M292" s="68">
        <f>IF(E292=Data!#REF!,Data!#REF!,"")</f>
      </c>
      <c r="N292" s="69">
        <f>IF(AND(Data!#REF!&lt;&gt;"",Data!#REF!="Accept&amp;#233;"),Data!#REF!,"")</f>
      </c>
    </row>
    <row x14ac:dyDescent="0.25" r="293" customHeight="1" ht="19.5" hidden="1">
      <c r="A293" s="62">
        <f>IF(AND(Data!#REF!&lt;&gt;"",Data!#REF!="Accept&amp;#233;"),Data!#REF!,"")</f>
      </c>
      <c r="B293" s="62">
        <f>IF(AND(Data!#REF!&lt;&gt;"",Data!#REF!="Accept&amp;#233;"),Data!#REF!,"")</f>
      </c>
      <c r="C293" s="63">
        <f>IF(D293&lt;&gt;"","S"&amp;TEXT(WEEKNUM(D293),"00"),"")</f>
      </c>
      <c r="D293" s="42">
        <f>IF(AND(Data!#REF!&lt;&gt;"",Data!#REF!="Accept&amp;#233;"),Data!#REF!,"")</f>
        <v>25569.041666666668</v>
      </c>
      <c r="E293" s="64">
        <f>IF(AND(Data!#REF!&lt;&gt;"",Data!#REF!="Accept&amp;#233;"),Data!#REF!,"")</f>
      </c>
      <c r="F293" s="65">
        <f>IF(AND(Data!#REF!&lt;&gt;"",Data!#REF!="Accept&amp;#233;"),Data!#REF!,"")</f>
      </c>
      <c r="G293" s="66">
        <f>IF(Data!#REF!='Delivery Plan'!E293,Data!#REF!,"")</f>
      </c>
      <c r="H293" s="53"/>
      <c r="I293" s="63">
        <f>IF(J293&lt;&gt;"","S"&amp;TEXT(WEEKNUM(J293),"00"),"")</f>
      </c>
      <c r="J293" s="42">
        <f>IF(AND(E293=Data!#REF!,Data!#REF!&lt;&gt;""),Data!#REF!,"")</f>
        <v>25569.041666666668</v>
      </c>
      <c r="K293" s="67">
        <f>IF(AND(E293=Data!#REF!,Data!#REF!&lt;&gt;""),Data!#REF!,"")</f>
        <v>25569.041666666668</v>
      </c>
      <c r="L293" s="68">
        <f>IF(E293=Data!#REF!,Data!#REF!,"")</f>
      </c>
      <c r="M293" s="68">
        <f>IF(E293=Data!#REF!,Data!#REF!,"")</f>
      </c>
      <c r="N293" s="69">
        <f>IF(AND(Data!#REF!&lt;&gt;"",Data!#REF!="Accept&amp;#233;"),Data!#REF!,"")</f>
      </c>
    </row>
    <row x14ac:dyDescent="0.25" r="294" customHeight="1" ht="19.5" hidden="1">
      <c r="A294" s="62">
        <f>IF(AND(Data!#REF!&lt;&gt;"",Data!#REF!="Accept&amp;#233;"),Data!#REF!,"")</f>
      </c>
      <c r="B294" s="62">
        <f>IF(AND(Data!#REF!&lt;&gt;"",Data!#REF!="Accept&amp;#233;"),Data!#REF!,"")</f>
      </c>
      <c r="C294" s="63">
        <f>IF(D294&lt;&gt;"","S"&amp;TEXT(WEEKNUM(D294),"00"),"")</f>
      </c>
      <c r="D294" s="42">
        <f>IF(AND(Data!#REF!&lt;&gt;"",Data!#REF!="Accept&amp;#233;"),Data!#REF!,"")</f>
        <v>25569.041666666668</v>
      </c>
      <c r="E294" s="64">
        <f>IF(AND(Data!#REF!&lt;&gt;"",Data!#REF!="Accept&amp;#233;"),Data!#REF!,"")</f>
      </c>
      <c r="F294" s="65">
        <f>IF(AND(Data!#REF!&lt;&gt;"",Data!#REF!="Accept&amp;#233;"),Data!#REF!,"")</f>
      </c>
      <c r="G294" s="66">
        <f>IF(Data!#REF!='Delivery Plan'!E294,Data!#REF!,"")</f>
      </c>
      <c r="H294" s="53"/>
      <c r="I294" s="63">
        <f>IF(J294&lt;&gt;"","S"&amp;TEXT(WEEKNUM(J294),"00"),"")</f>
      </c>
      <c r="J294" s="42">
        <f>IF(AND(E294=Data!#REF!,Data!#REF!&lt;&gt;""),Data!#REF!,"")</f>
        <v>25569.041666666668</v>
      </c>
      <c r="K294" s="67">
        <f>IF(AND(E294=Data!#REF!,Data!#REF!&lt;&gt;""),Data!#REF!,"")</f>
        <v>25569.041666666668</v>
      </c>
      <c r="L294" s="68">
        <f>IF(E294=Data!#REF!,Data!#REF!,"")</f>
      </c>
      <c r="M294" s="68">
        <f>IF(E294=Data!#REF!,Data!#REF!,"")</f>
      </c>
      <c r="N294" s="69">
        <f>IF(AND(Data!#REF!&lt;&gt;"",Data!#REF!="Accept&amp;#233;"),Data!#REF!,"")</f>
      </c>
    </row>
    <row x14ac:dyDescent="0.25" r="295" customHeight="1" ht="19.5" hidden="1">
      <c r="A295" s="62">
        <f>IF(AND(Data!#REF!&lt;&gt;"",Data!#REF!="Accept&amp;#233;"),Data!#REF!,"")</f>
      </c>
      <c r="B295" s="62">
        <f>IF(AND(Data!#REF!&lt;&gt;"",Data!#REF!="Accept&amp;#233;"),Data!#REF!,"")</f>
      </c>
      <c r="C295" s="63">
        <f>IF(D295&lt;&gt;"","S"&amp;TEXT(WEEKNUM(D295),"00"),"")</f>
      </c>
      <c r="D295" s="42">
        <f>IF(AND(Data!#REF!&lt;&gt;"",Data!#REF!="Accept&amp;#233;"),Data!#REF!,"")</f>
        <v>25569.041666666668</v>
      </c>
      <c r="E295" s="64">
        <f>IF(AND(Data!#REF!&lt;&gt;"",Data!#REF!="Accept&amp;#233;"),Data!#REF!,"")</f>
      </c>
      <c r="F295" s="65">
        <f>IF(AND(Data!#REF!&lt;&gt;"",Data!#REF!="Accept&amp;#233;"),Data!#REF!,"")</f>
      </c>
      <c r="G295" s="66">
        <f>IF(Data!#REF!='Delivery Plan'!E295,Data!#REF!,"")</f>
      </c>
      <c r="H295" s="53"/>
      <c r="I295" s="63">
        <f>IF(J295&lt;&gt;"","S"&amp;TEXT(WEEKNUM(J295),"00"),"")</f>
      </c>
      <c r="J295" s="42">
        <f>IF(AND(E295=Data!#REF!,Data!#REF!&lt;&gt;""),Data!#REF!,"")</f>
        <v>25569.041666666668</v>
      </c>
      <c r="K295" s="67">
        <f>IF(AND(E295=Data!#REF!,Data!#REF!&lt;&gt;""),Data!#REF!,"")</f>
        <v>25569.041666666668</v>
      </c>
      <c r="L295" s="68">
        <f>IF(E295=Data!#REF!,Data!#REF!,"")</f>
      </c>
      <c r="M295" s="68">
        <f>IF(E295=Data!#REF!,Data!#REF!,"")</f>
      </c>
      <c r="N295" s="69">
        <f>IF(AND(Data!#REF!&lt;&gt;"",Data!#REF!="Accept&amp;#233;"),Data!#REF!,"")</f>
      </c>
    </row>
    <row x14ac:dyDescent="0.25" r="296" customHeight="1" ht="19.5" hidden="1">
      <c r="A296" s="62">
        <f>IF(AND(Data!#REF!&lt;&gt;"",Data!#REF!="Accept&amp;#233;"),Data!#REF!,"")</f>
      </c>
      <c r="B296" s="62">
        <f>IF(AND(Data!#REF!&lt;&gt;"",Data!#REF!="Accept&amp;#233;"),Data!#REF!,"")</f>
      </c>
      <c r="C296" s="63">
        <f>IF(D296&lt;&gt;"","S"&amp;TEXT(WEEKNUM(D296),"00"),"")</f>
      </c>
      <c r="D296" s="42">
        <f>IF(AND(Data!#REF!&lt;&gt;"",Data!#REF!="Accept&amp;#233;"),Data!#REF!,"")</f>
        <v>25569.041666666668</v>
      </c>
      <c r="E296" s="64">
        <f>IF(AND(Data!#REF!&lt;&gt;"",Data!#REF!="Accept&amp;#233;"),Data!#REF!,"")</f>
      </c>
      <c r="F296" s="65">
        <f>IF(AND(Data!#REF!&lt;&gt;"",Data!#REF!="Accept&amp;#233;"),Data!#REF!,"")</f>
      </c>
      <c r="G296" s="66">
        <f>IF(Data!#REF!='Delivery Plan'!E296,Data!#REF!,"")</f>
      </c>
      <c r="H296" s="53"/>
      <c r="I296" s="63">
        <f>IF(J296&lt;&gt;"","S"&amp;TEXT(WEEKNUM(J296),"00"),"")</f>
      </c>
      <c r="J296" s="42">
        <f>IF(AND(E296=Data!#REF!,Data!#REF!&lt;&gt;""),Data!#REF!,"")</f>
        <v>25569.041666666668</v>
      </c>
      <c r="K296" s="67">
        <f>IF(AND(E296=Data!#REF!,Data!#REF!&lt;&gt;""),Data!#REF!,"")</f>
        <v>25569.041666666668</v>
      </c>
      <c r="L296" s="68">
        <f>IF(E296=Data!#REF!,Data!#REF!,"")</f>
      </c>
      <c r="M296" s="68">
        <f>IF(E296=Data!#REF!,Data!#REF!,"")</f>
      </c>
      <c r="N296" s="69">
        <f>IF(AND(Data!#REF!&lt;&gt;"",Data!#REF!="Accept&amp;#233;"),Data!#REF!,"")</f>
      </c>
    </row>
    <row x14ac:dyDescent="0.25" r="297" customHeight="1" ht="19.5" hidden="1">
      <c r="A297" s="62">
        <f>IF(AND(Data!#REF!&lt;&gt;"",Data!#REF!="Accept&amp;#233;"),Data!#REF!,"")</f>
      </c>
      <c r="B297" s="62">
        <f>IF(AND(Data!#REF!&lt;&gt;"",Data!#REF!="Accept&amp;#233;"),Data!#REF!,"")</f>
      </c>
      <c r="C297" s="63">
        <f>IF(D297&lt;&gt;"","S"&amp;TEXT(WEEKNUM(D297),"00"),"")</f>
      </c>
      <c r="D297" s="42">
        <f>IF(AND(Data!#REF!&lt;&gt;"",Data!#REF!="Accept&amp;#233;"),Data!#REF!,"")</f>
        <v>25569.041666666668</v>
      </c>
      <c r="E297" s="64">
        <f>IF(AND(Data!#REF!&lt;&gt;"",Data!#REF!="Accept&amp;#233;"),Data!#REF!,"")</f>
      </c>
      <c r="F297" s="65">
        <f>IF(AND(Data!#REF!&lt;&gt;"",Data!#REF!="Accept&amp;#233;"),Data!#REF!,"")</f>
      </c>
      <c r="G297" s="66">
        <f>IF(Data!#REF!='Delivery Plan'!E297,Data!#REF!,"")</f>
      </c>
      <c r="H297" s="53"/>
      <c r="I297" s="63">
        <f>IF(J297&lt;&gt;"","S"&amp;TEXT(WEEKNUM(J297),"00"),"")</f>
      </c>
      <c r="J297" s="42">
        <f>IF(AND(E297=Data!#REF!,Data!#REF!&lt;&gt;""),Data!#REF!,"")</f>
        <v>25569.041666666668</v>
      </c>
      <c r="K297" s="67">
        <f>IF(AND(E297=Data!#REF!,Data!#REF!&lt;&gt;""),Data!#REF!,"")</f>
        <v>25569.041666666668</v>
      </c>
      <c r="L297" s="68">
        <f>IF(E297=Data!#REF!,Data!#REF!,"")</f>
      </c>
      <c r="M297" s="68">
        <f>IF(E297=Data!#REF!,Data!#REF!,"")</f>
      </c>
      <c r="N297" s="69">
        <f>IF(AND(Data!#REF!&lt;&gt;"",Data!#REF!="Accept&amp;#233;"),Data!#REF!,"")</f>
      </c>
    </row>
    <row x14ac:dyDescent="0.25" r="298" customHeight="1" ht="19.5" hidden="1">
      <c r="A298" s="62">
        <f>IF(AND(Data!#REF!&lt;&gt;"",Data!#REF!="Accept&amp;#233;"),Data!#REF!,"")</f>
      </c>
      <c r="B298" s="62">
        <f>IF(AND(Data!#REF!&lt;&gt;"",Data!#REF!="Accept&amp;#233;"),Data!#REF!,"")</f>
      </c>
      <c r="C298" s="63">
        <f>IF(D298&lt;&gt;"","S"&amp;TEXT(WEEKNUM(D298),"00"),"")</f>
      </c>
      <c r="D298" s="42">
        <f>IF(AND(Data!#REF!&lt;&gt;"",Data!#REF!="Accept&amp;#233;"),Data!#REF!,"")</f>
        <v>25569.041666666668</v>
      </c>
      <c r="E298" s="64">
        <f>IF(AND(Data!#REF!&lt;&gt;"",Data!#REF!="Accept&amp;#233;"),Data!#REF!,"")</f>
      </c>
      <c r="F298" s="65">
        <f>IF(AND(Data!#REF!&lt;&gt;"",Data!#REF!="Accept&amp;#233;"),Data!#REF!,"")</f>
      </c>
      <c r="G298" s="66">
        <f>IF(Data!#REF!='Delivery Plan'!E298,Data!#REF!,"")</f>
      </c>
      <c r="H298" s="53"/>
      <c r="I298" s="63">
        <f>IF(J298&lt;&gt;"","S"&amp;TEXT(WEEKNUM(J298),"00"),"")</f>
      </c>
      <c r="J298" s="42">
        <f>IF(AND(E298=Data!#REF!,Data!#REF!&lt;&gt;""),Data!#REF!,"")</f>
        <v>25569.041666666668</v>
      </c>
      <c r="K298" s="67">
        <f>IF(AND(E298=Data!#REF!,Data!#REF!&lt;&gt;""),Data!#REF!,"")</f>
        <v>25569.041666666668</v>
      </c>
      <c r="L298" s="68">
        <f>IF(E298=Data!#REF!,Data!#REF!,"")</f>
      </c>
      <c r="M298" s="68">
        <f>IF(E298=Data!#REF!,Data!#REF!,"")</f>
      </c>
      <c r="N298" s="69">
        <f>IF(AND(Data!#REF!&lt;&gt;"",Data!#REF!="Accept&amp;#233;"),Data!#REF!,"")</f>
      </c>
    </row>
    <row x14ac:dyDescent="0.25" r="299" customHeight="1" ht="19.5" hidden="1">
      <c r="A299" s="62">
        <f>IF(AND(Data!#REF!&lt;&gt;"",Data!#REF!="Accept&amp;#233;"),Data!#REF!,"")</f>
      </c>
      <c r="B299" s="62">
        <f>IF(AND(Data!#REF!&lt;&gt;"",Data!#REF!="Accept&amp;#233;"),Data!#REF!,"")</f>
      </c>
      <c r="C299" s="63">
        <f>IF(D299&lt;&gt;"","S"&amp;TEXT(WEEKNUM(D299),"00"),"")</f>
      </c>
      <c r="D299" s="42">
        <f>IF(AND(Data!#REF!&lt;&gt;"",Data!#REF!="Accept&amp;#233;"),Data!#REF!,"")</f>
        <v>25569.041666666668</v>
      </c>
      <c r="E299" s="64">
        <f>IF(AND(Data!#REF!&lt;&gt;"",Data!#REF!="Accept&amp;#233;"),Data!#REF!,"")</f>
      </c>
      <c r="F299" s="65">
        <f>IF(AND(Data!#REF!&lt;&gt;"",Data!#REF!="Accept&amp;#233;"),Data!#REF!,"")</f>
      </c>
      <c r="G299" s="66">
        <f>IF(Data!#REF!='Delivery Plan'!E299,Data!#REF!,"")</f>
      </c>
      <c r="H299" s="53"/>
      <c r="I299" s="63">
        <f>IF(J299&lt;&gt;"","S"&amp;TEXT(WEEKNUM(J299),"00"),"")</f>
      </c>
      <c r="J299" s="42">
        <f>IF(AND(E299=Data!#REF!,Data!#REF!&lt;&gt;""),Data!#REF!,"")</f>
        <v>25569.041666666668</v>
      </c>
      <c r="K299" s="67">
        <f>IF(AND(E299=Data!#REF!,Data!#REF!&lt;&gt;""),Data!#REF!,"")</f>
        <v>25569.041666666668</v>
      </c>
      <c r="L299" s="68">
        <f>IF(E299=Data!#REF!,Data!#REF!,"")</f>
      </c>
      <c r="M299" s="68">
        <f>IF(E299=Data!#REF!,Data!#REF!,"")</f>
      </c>
      <c r="N299" s="69">
        <f>IF(AND(Data!#REF!&lt;&gt;"",Data!#REF!="Accept&amp;#233;"),Data!#REF!,"")</f>
      </c>
    </row>
    <row x14ac:dyDescent="0.25" r="300" customHeight="1" ht="19.5" hidden="1">
      <c r="A300" s="62">
        <f>IF(AND(Data!#REF!&lt;&gt;"",Data!#REF!="Accept&amp;#233;"),Data!#REF!,"")</f>
      </c>
      <c r="B300" s="62">
        <f>IF(AND(Data!#REF!&lt;&gt;"",Data!#REF!="Accept&amp;#233;"),Data!#REF!,"")</f>
      </c>
      <c r="C300" s="63">
        <f>IF(D300&lt;&gt;"","S"&amp;TEXT(WEEKNUM(D300),"00"),"")</f>
      </c>
      <c r="D300" s="42">
        <f>IF(AND(Data!#REF!&lt;&gt;"",Data!#REF!="Accept&amp;#233;"),Data!#REF!,"")</f>
        <v>25569.041666666668</v>
      </c>
      <c r="E300" s="64">
        <f>IF(AND(Data!#REF!&lt;&gt;"",Data!#REF!="Accept&amp;#233;"),Data!#REF!,"")</f>
      </c>
      <c r="F300" s="65">
        <f>IF(AND(Data!#REF!&lt;&gt;"",Data!#REF!="Accept&amp;#233;"),Data!#REF!,"")</f>
      </c>
      <c r="G300" s="66">
        <f>IF(Data!#REF!='Delivery Plan'!E300,Data!#REF!,"")</f>
      </c>
      <c r="H300" s="53"/>
      <c r="I300" s="63">
        <f>IF(J300&lt;&gt;"","S"&amp;TEXT(WEEKNUM(J300),"00"),"")</f>
      </c>
      <c r="J300" s="42">
        <f>IF(AND(E300=Data!#REF!,Data!#REF!&lt;&gt;""),Data!#REF!,"")</f>
        <v>25569.041666666668</v>
      </c>
      <c r="K300" s="67">
        <f>IF(AND(E300=Data!#REF!,Data!#REF!&lt;&gt;""),Data!#REF!,"")</f>
        <v>25569.041666666668</v>
      </c>
      <c r="L300" s="68">
        <f>IF(E300=Data!#REF!,Data!#REF!,"")</f>
      </c>
      <c r="M300" s="68">
        <f>IF(E300=Data!#REF!,Data!#REF!,"")</f>
      </c>
      <c r="N300" s="69">
        <f>IF(AND(Data!#REF!&lt;&gt;"",Data!#REF!="Accept&amp;#233;"),Data!#REF!,"")</f>
      </c>
    </row>
    <row x14ac:dyDescent="0.25" r="301" customHeight="1" ht="19.5" hidden="1">
      <c r="A301" s="62">
        <f>IF(AND(Data!#REF!&lt;&gt;"",Data!#REF!="Accept&amp;#233;"),Data!#REF!,"")</f>
      </c>
      <c r="B301" s="62">
        <f>IF(AND(Data!#REF!&lt;&gt;"",Data!#REF!="Accept&amp;#233;"),Data!#REF!,"")</f>
      </c>
      <c r="C301" s="63">
        <f>IF(D301&lt;&gt;"","S"&amp;TEXT(WEEKNUM(D301),"00"),"")</f>
      </c>
      <c r="D301" s="42">
        <f>IF(AND(Data!#REF!&lt;&gt;"",Data!#REF!="Accept&amp;#233;"),Data!#REF!,"")</f>
        <v>25569.041666666668</v>
      </c>
      <c r="E301" s="64">
        <f>IF(AND(Data!#REF!&lt;&gt;"",Data!#REF!="Accept&amp;#233;"),Data!#REF!,"")</f>
      </c>
      <c r="F301" s="65">
        <f>IF(AND(Data!#REF!&lt;&gt;"",Data!#REF!="Accept&amp;#233;"),Data!#REF!,"")</f>
      </c>
      <c r="G301" s="66">
        <f>IF(Data!#REF!='Delivery Plan'!E301,Data!#REF!,"")</f>
      </c>
      <c r="H301" s="53"/>
      <c r="I301" s="63">
        <f>IF(J301&lt;&gt;"","S"&amp;TEXT(WEEKNUM(J301),"00"),"")</f>
      </c>
      <c r="J301" s="42">
        <f>IF(AND(E301=Data!#REF!,Data!#REF!&lt;&gt;""),Data!#REF!,"")</f>
        <v>25569.041666666668</v>
      </c>
      <c r="K301" s="67">
        <f>IF(AND(E301=Data!#REF!,Data!#REF!&lt;&gt;""),Data!#REF!,"")</f>
        <v>25569.041666666668</v>
      </c>
      <c r="L301" s="68">
        <f>IF(E301=Data!#REF!,Data!#REF!,"")</f>
      </c>
      <c r="M301" s="68">
        <f>IF(E301=Data!#REF!,Data!#REF!,"")</f>
      </c>
      <c r="N301" s="69">
        <f>IF(AND(Data!#REF!&lt;&gt;"",Data!#REF!="Accept&amp;#233;"),Data!#REF!,"")</f>
      </c>
    </row>
    <row x14ac:dyDescent="0.25" r="302" customHeight="1" ht="19.5" hidden="1">
      <c r="A302" s="62">
        <f>IF(AND(Data!#REF!&lt;&gt;"",Data!#REF!="Accept&amp;#233;"),Data!#REF!,"")</f>
      </c>
      <c r="B302" s="62">
        <f>IF(AND(Data!#REF!&lt;&gt;"",Data!#REF!="Accept&amp;#233;"),Data!#REF!,"")</f>
      </c>
      <c r="C302" s="63">
        <f>IF(D302&lt;&gt;"","S"&amp;TEXT(WEEKNUM(D302),"00"),"")</f>
      </c>
      <c r="D302" s="42">
        <f>IF(AND(Data!#REF!&lt;&gt;"",Data!#REF!="Accept&amp;#233;"),Data!#REF!,"")</f>
        <v>25569.041666666668</v>
      </c>
      <c r="E302" s="64">
        <f>IF(AND(Data!#REF!&lt;&gt;"",Data!#REF!="Accept&amp;#233;"),Data!#REF!,"")</f>
      </c>
      <c r="F302" s="65">
        <f>IF(AND(Data!#REF!&lt;&gt;"",Data!#REF!="Accept&amp;#233;"),Data!#REF!,"")</f>
      </c>
      <c r="G302" s="66">
        <f>IF(Data!#REF!='Delivery Plan'!E302,Data!#REF!,"")</f>
      </c>
      <c r="H302" s="53"/>
      <c r="I302" s="63">
        <f>IF(J302&lt;&gt;"","S"&amp;TEXT(WEEKNUM(J302),"00"),"")</f>
      </c>
      <c r="J302" s="42">
        <f>IF(AND(E302=Data!#REF!,Data!#REF!&lt;&gt;""),Data!#REF!,"")</f>
        <v>25569.041666666668</v>
      </c>
      <c r="K302" s="67">
        <f>IF(AND(E302=Data!#REF!,Data!#REF!&lt;&gt;""),Data!#REF!,"")</f>
        <v>25569.041666666668</v>
      </c>
      <c r="L302" s="68">
        <f>IF(E302=Data!#REF!,Data!#REF!,"")</f>
      </c>
      <c r="M302" s="68">
        <f>IF(E302=Data!#REF!,Data!#REF!,"")</f>
      </c>
      <c r="N302" s="69">
        <f>IF(AND(Data!#REF!&lt;&gt;"",Data!#REF!="Accept&amp;#233;"),Data!#REF!,"")</f>
      </c>
    </row>
    <row x14ac:dyDescent="0.25" r="303" customHeight="1" ht="19.5" hidden="1">
      <c r="A303" s="62">
        <f>IF(AND(Data!#REF!&lt;&gt;"",Data!#REF!="Accept&amp;#233;"),Data!#REF!,"")</f>
      </c>
      <c r="B303" s="62">
        <f>IF(AND(Data!#REF!&lt;&gt;"",Data!#REF!="Accept&amp;#233;"),Data!#REF!,"")</f>
      </c>
      <c r="C303" s="63">
        <f>IF(D303&lt;&gt;"","S"&amp;TEXT(WEEKNUM(D303),"00"),"")</f>
      </c>
      <c r="D303" s="42">
        <f>IF(AND(Data!#REF!&lt;&gt;"",Data!#REF!="Accept&amp;#233;"),Data!#REF!,"")</f>
        <v>25569.041666666668</v>
      </c>
      <c r="E303" s="64">
        <f>IF(AND(Data!#REF!&lt;&gt;"",Data!#REF!="Accept&amp;#233;"),Data!#REF!,"")</f>
      </c>
      <c r="F303" s="65">
        <f>IF(AND(Data!#REF!&lt;&gt;"",Data!#REF!="Accept&amp;#233;"),Data!#REF!,"")</f>
      </c>
      <c r="G303" s="66">
        <f>IF(Data!#REF!='Delivery Plan'!E303,Data!#REF!,"")</f>
      </c>
      <c r="H303" s="53"/>
      <c r="I303" s="63">
        <f>IF(J303&lt;&gt;"","S"&amp;TEXT(WEEKNUM(J303),"00"),"")</f>
      </c>
      <c r="J303" s="42">
        <f>IF(AND(E303=Data!#REF!,Data!#REF!&lt;&gt;""),Data!#REF!,"")</f>
        <v>25569.041666666668</v>
      </c>
      <c r="K303" s="67">
        <f>IF(AND(E303=Data!#REF!,Data!#REF!&lt;&gt;""),Data!#REF!,"")</f>
        <v>25569.041666666668</v>
      </c>
      <c r="L303" s="68">
        <f>IF(E303=Data!#REF!,Data!#REF!,"")</f>
      </c>
      <c r="M303" s="68">
        <f>IF(E303=Data!#REF!,Data!#REF!,"")</f>
      </c>
      <c r="N303" s="69">
        <f>IF(AND(Data!#REF!&lt;&gt;"",Data!#REF!="Accept&amp;#233;"),Data!#REF!,"")</f>
      </c>
    </row>
    <row x14ac:dyDescent="0.25" r="304" customHeight="1" ht="19.5" hidden="1">
      <c r="A304" s="62">
        <f>IF(AND(Data!#REF!&lt;&gt;"",Data!#REF!="Accept&amp;#233;"),Data!#REF!,"")</f>
      </c>
      <c r="B304" s="62">
        <f>IF(AND(Data!#REF!&lt;&gt;"",Data!#REF!="Accept&amp;#233;"),Data!#REF!,"")</f>
      </c>
      <c r="C304" s="63">
        <f>IF(D304&lt;&gt;"","S"&amp;TEXT(WEEKNUM(D304),"00"),"")</f>
      </c>
      <c r="D304" s="42">
        <f>IF(AND(Data!#REF!&lt;&gt;"",Data!#REF!="Accept&amp;#233;"),Data!#REF!,"")</f>
        <v>25569.041666666668</v>
      </c>
      <c r="E304" s="64">
        <f>IF(AND(Data!#REF!&lt;&gt;"",Data!#REF!="Accept&amp;#233;"),Data!#REF!,"")</f>
      </c>
      <c r="F304" s="65">
        <f>IF(AND(Data!#REF!&lt;&gt;"",Data!#REF!="Accept&amp;#233;"),Data!#REF!,"")</f>
      </c>
      <c r="G304" s="66">
        <f>IF(Data!#REF!='Delivery Plan'!E304,Data!#REF!,"")</f>
      </c>
      <c r="H304" s="53"/>
      <c r="I304" s="63">
        <f>IF(J304&lt;&gt;"","S"&amp;TEXT(WEEKNUM(J304),"00"),"")</f>
      </c>
      <c r="J304" s="42">
        <f>IF(AND(E304=Data!#REF!,Data!#REF!&lt;&gt;""),Data!#REF!,"")</f>
        <v>25569.041666666668</v>
      </c>
      <c r="K304" s="67">
        <f>IF(AND(E304=Data!#REF!,Data!#REF!&lt;&gt;""),Data!#REF!,"")</f>
        <v>25569.041666666668</v>
      </c>
      <c r="L304" s="68">
        <f>IF(E304=Data!#REF!,Data!#REF!,"")</f>
      </c>
      <c r="M304" s="68">
        <f>IF(E304=Data!#REF!,Data!#REF!,"")</f>
      </c>
      <c r="N304" s="69">
        <f>IF(AND(Data!#REF!&lt;&gt;"",Data!#REF!="Accept&amp;#233;"),Data!#REF!,"")</f>
      </c>
    </row>
    <row x14ac:dyDescent="0.25" r="305" customHeight="1" ht="19.5" hidden="1">
      <c r="A305" s="62">
        <f>IF(AND(Data!#REF!&lt;&gt;"",Data!#REF!="Accept&amp;#233;"),Data!#REF!,"")</f>
      </c>
      <c r="B305" s="62">
        <f>IF(AND(Data!#REF!&lt;&gt;"",Data!#REF!="Accept&amp;#233;"),Data!#REF!,"")</f>
      </c>
      <c r="C305" s="63">
        <f>IF(D305&lt;&gt;"","S"&amp;TEXT(WEEKNUM(D305),"00"),"")</f>
      </c>
      <c r="D305" s="42">
        <f>IF(AND(Data!#REF!&lt;&gt;"",Data!#REF!="Accept&amp;#233;"),Data!#REF!,"")</f>
        <v>25569.041666666668</v>
      </c>
      <c r="E305" s="64">
        <f>IF(AND(Data!#REF!&lt;&gt;"",Data!#REF!="Accept&amp;#233;"),Data!#REF!,"")</f>
      </c>
      <c r="F305" s="65">
        <f>IF(AND(Data!#REF!&lt;&gt;"",Data!#REF!="Accept&amp;#233;"),Data!#REF!,"")</f>
      </c>
      <c r="G305" s="66">
        <f>IF(Data!#REF!='Delivery Plan'!E305,Data!#REF!,"")</f>
      </c>
      <c r="H305" s="53"/>
      <c r="I305" s="63">
        <f>IF(J305&lt;&gt;"","S"&amp;TEXT(WEEKNUM(J305),"00"),"")</f>
      </c>
      <c r="J305" s="42">
        <f>IF(AND(E305=Data!#REF!,Data!#REF!&lt;&gt;""),Data!#REF!,"")</f>
        <v>25569.041666666668</v>
      </c>
      <c r="K305" s="67">
        <f>IF(AND(E305=Data!#REF!,Data!#REF!&lt;&gt;""),Data!#REF!,"")</f>
        <v>25569.041666666668</v>
      </c>
      <c r="L305" s="68">
        <f>IF(E305=Data!R147,Data!AI147,"")</f>
      </c>
      <c r="M305" s="68">
        <f>IF(E305=Data!R147,Data!AJ147,"")</f>
      </c>
      <c r="N305" s="69">
        <f>IF(AND(Data!R147&lt;&gt;"",Data!L147="Accept&amp;#233;"),Data!K147,"")</f>
      </c>
    </row>
    <row x14ac:dyDescent="0.25" r="306" customHeight="1" ht="19.5" hidden="1">
      <c r="A306" s="62">
        <f>IF(AND(Data!#REF!&lt;&gt;"",Data!#REF!="Accept&amp;#233;"),Data!#REF!,"")</f>
      </c>
      <c r="B306" s="62">
        <f>IF(AND(Data!#REF!&lt;&gt;"",Data!#REF!="Accept&amp;#233;"),Data!#REF!,"")</f>
      </c>
      <c r="C306" s="63">
        <f>IF(D306&lt;&gt;"","S"&amp;TEXT(WEEKNUM(D306),"00"),"")</f>
      </c>
      <c r="D306" s="42">
        <f>IF(AND(Data!#REF!&lt;&gt;"",Data!#REF!="Accept&amp;#233;"),Data!#REF!,"")</f>
        <v>25569.041666666668</v>
      </c>
      <c r="E306" s="64">
        <f>IF(AND(Data!#REF!&lt;&gt;"",Data!#REF!="Accept&amp;#233;"),Data!#REF!,"")</f>
      </c>
      <c r="F306" s="65">
        <f>IF(AND(Data!#REF!&lt;&gt;"",Data!#REF!="Accept&amp;#233;"),Data!#REF!,"")</f>
      </c>
      <c r="G306" s="66">
        <f>IF(Data!#REF!='Delivery Plan'!E306,Data!#REF!,"")</f>
      </c>
      <c r="H306" s="53"/>
      <c r="I306" s="63">
        <f>IF(J306&lt;&gt;"","S"&amp;TEXT(WEEKNUM(J306),"00"),"")</f>
      </c>
      <c r="J306" s="42">
        <f>IF(AND(E306=Data!#REF!,Data!#REF!&lt;&gt;""),Data!#REF!,"")</f>
        <v>25569.041666666668</v>
      </c>
      <c r="K306" s="67">
        <f>IF(AND(E306=Data!#REF!,Data!#REF!&lt;&gt;""),Data!#REF!,"")</f>
        <v>25569.041666666668</v>
      </c>
      <c r="L306" s="68">
        <f>IF(E306=Data!R148,Data!AI148,"")</f>
      </c>
      <c r="M306" s="68">
        <f>IF(E306=Data!R148,Data!AJ148,"")</f>
      </c>
      <c r="N306" s="69">
        <f>IF(AND(Data!R148&lt;&gt;"",Data!L148="Accept&amp;#233;"),Data!K148,"")</f>
      </c>
    </row>
    <row x14ac:dyDescent="0.25" r="307" customHeight="1" ht="19.5" hidden="1">
      <c r="A307" s="62">
        <f>IF(AND(Data!#REF!&lt;&gt;"",Data!#REF!="Accept&amp;#233;"),Data!#REF!,"")</f>
      </c>
      <c r="B307" s="62">
        <f>IF(AND(Data!#REF!&lt;&gt;"",Data!#REF!="Accept&amp;#233;"),Data!#REF!,"")</f>
      </c>
      <c r="C307" s="63">
        <f>IF(D307&lt;&gt;"","S"&amp;TEXT(WEEKNUM(D307),"00"),"")</f>
      </c>
      <c r="D307" s="42">
        <f>IF(AND(Data!#REF!&lt;&gt;"",Data!#REF!="Accept&amp;#233;"),Data!#REF!,"")</f>
        <v>25569.041666666668</v>
      </c>
      <c r="E307" s="64">
        <f>IF(AND(Data!#REF!&lt;&gt;"",Data!#REF!="Accept&amp;#233;"),Data!#REF!,"")</f>
      </c>
      <c r="F307" s="65">
        <f>IF(AND(Data!#REF!&lt;&gt;"",Data!#REF!="Accept&amp;#233;"),Data!#REF!,"")</f>
      </c>
      <c r="G307" s="66">
        <f>IF(Data!#REF!='Delivery Plan'!E307,Data!#REF!,"")</f>
      </c>
      <c r="H307" s="53"/>
      <c r="I307" s="63">
        <f>IF(J307&lt;&gt;"","S"&amp;TEXT(WEEKNUM(J307),"00"),"")</f>
      </c>
      <c r="J307" s="42">
        <f>IF(AND(E307=Data!#REF!,Data!#REF!&lt;&gt;""),Data!#REF!,"")</f>
        <v>25569.041666666668</v>
      </c>
      <c r="K307" s="67">
        <f>IF(AND(E307=Data!#REF!,Data!#REF!&lt;&gt;""),Data!#REF!,"")</f>
        <v>25569.041666666668</v>
      </c>
      <c r="L307" s="68">
        <f>IF(E307=Data!R149,Data!AI149,"")</f>
      </c>
      <c r="M307" s="68">
        <f>IF(E307=Data!R149,Data!AJ149,"")</f>
      </c>
      <c r="N307" s="69">
        <f>IF(AND(Data!R149&lt;&gt;"",Data!L149="Accept&amp;#233;"),Data!K149,"")</f>
      </c>
    </row>
    <row x14ac:dyDescent="0.25" r="308" customHeight="1" ht="19.5" hidden="1">
      <c r="A308" s="62">
        <f>IF(AND(Data!#REF!&lt;&gt;"",Data!#REF!="Accept&amp;#233;"),Data!#REF!,"")</f>
      </c>
      <c r="B308" s="62">
        <f>IF(AND(Data!#REF!&lt;&gt;"",Data!#REF!="Accept&amp;#233;"),Data!#REF!,"")</f>
      </c>
      <c r="C308" s="63">
        <f>IF(D308&lt;&gt;"","S"&amp;TEXT(WEEKNUM(D308),"00"),"")</f>
      </c>
      <c r="D308" s="42">
        <f>IF(AND(Data!#REF!&lt;&gt;"",Data!#REF!="Accept&amp;#233;"),Data!#REF!,"")</f>
        <v>25569.041666666668</v>
      </c>
      <c r="E308" s="64">
        <f>IF(AND(Data!#REF!&lt;&gt;"",Data!#REF!="Accept&amp;#233;"),Data!#REF!,"")</f>
      </c>
      <c r="F308" s="65">
        <f>IF(AND(Data!#REF!&lt;&gt;"",Data!#REF!="Accept&amp;#233;"),Data!#REF!,"")</f>
      </c>
      <c r="G308" s="66">
        <f>IF(Data!#REF!='Delivery Plan'!E308,Data!#REF!,"")</f>
      </c>
      <c r="H308" s="53"/>
      <c r="I308" s="63">
        <f>IF(J308&lt;&gt;"","S"&amp;TEXT(WEEKNUM(J308),"00"),"")</f>
      </c>
      <c r="J308" s="42">
        <f>IF(AND(E308=Data!#REF!,Data!#REF!&lt;&gt;""),Data!#REF!,"")</f>
        <v>25569.041666666668</v>
      </c>
      <c r="K308" s="67">
        <f>IF(AND(E308=Data!#REF!,Data!#REF!&lt;&gt;""),Data!#REF!,"")</f>
        <v>25569.041666666668</v>
      </c>
      <c r="L308" s="68">
        <f>IF(E308=Data!R150,Data!AI150,"")</f>
      </c>
      <c r="M308" s="68">
        <f>IF(E308=Data!R150,Data!AJ150,"")</f>
      </c>
      <c r="N308" s="69">
        <f>IF(AND(Data!R150&lt;&gt;"",Data!L150="Accept&amp;#233;"),Data!K150,"")</f>
      </c>
    </row>
    <row x14ac:dyDescent="0.25" r="309" customHeight="1" ht="19.5">
      <c r="A309" s="62">
        <f>IF(AND(Data!R138&lt;&gt;"",Data!L138="Accept&amp;#233;"),Data!G138,"")</f>
      </c>
      <c r="B309" s="62">
        <f>IF(AND(Data!R138&lt;&gt;"",Data!L138="Accept&amp;#233;"),Data!L138,"")</f>
      </c>
      <c r="C309" s="63">
        <f>IF(D309&lt;&gt;"","S"&amp;TEXT(WEEKNUM(D309),"00"),"")</f>
      </c>
      <c r="D309" s="42">
        <f>IF(AND(Data!Q138&lt;&gt;"",Data!L138="Accept&amp;#233;"),Data!Q138,"")</f>
        <v>25569.041666666668</v>
      </c>
      <c r="E309" s="64">
        <f>IF(AND(Data!R138&lt;&gt;"",Data!L138="Accept&amp;#233;"),Data!R138,"")</f>
      </c>
      <c r="F309" s="65">
        <f>IF(AND(Data!R138&lt;&gt;"",Data!L138="Accept&amp;#233;"),Data!S138,"")</f>
      </c>
      <c r="G309" s="66">
        <f>IF(Data!R138='Delivery Plan'!E309,Data!U138,"")</f>
      </c>
      <c r="H309" s="53"/>
      <c r="I309" s="63">
        <f>IF(J309&lt;&gt;"","S"&amp;TEXT(WEEKNUM(J309),"00"),"")</f>
      </c>
      <c r="J309" s="42">
        <f>IF(AND(E309=Data!R138,Data!AA138&lt;&gt;""),Data!AA138,"")</f>
        <v>25569.041666666668</v>
      </c>
      <c r="K309" s="67">
        <f>IF(AND(E309=Data!R138,Data!AE138&lt;&gt;""),Data!AE138,"")</f>
        <v>25569.041666666668</v>
      </c>
      <c r="L309" s="68">
        <f>IF(E309=Data!R151,Data!AI151,"")</f>
      </c>
      <c r="M309" s="68">
        <f>IF(E309=Data!R151,Data!AJ151,"")</f>
      </c>
      <c r="N309" s="69">
        <f>IF(AND(Data!R151&lt;&gt;"",Data!L151="Accept&amp;#233;"),Data!K151,"")</f>
      </c>
    </row>
    <row x14ac:dyDescent="0.25" r="310" customHeight="1" ht="19.5" hidden="1">
      <c r="A310" s="62">
        <f>IF(AND(Data!R139&lt;&gt;"",Data!L139="Accept&amp;#233;"),Data!G139,"")</f>
      </c>
      <c r="B310" s="62">
        <f>IF(AND(Data!R139&lt;&gt;"",Data!L139="Accept&amp;#233;"),Data!L139,"")</f>
      </c>
      <c r="C310" s="63">
        <f>IF(D310&lt;&gt;"","S"&amp;TEXT(WEEKNUM(D310),"00"),"")</f>
      </c>
      <c r="D310" s="42">
        <f>IF(AND(Data!Q139&lt;&gt;"",Data!L139="Accept&amp;#233;"),Data!Q139,"")</f>
        <v>25569.041666666668</v>
      </c>
      <c r="E310" s="64">
        <f>IF(AND(Data!R139&lt;&gt;"",Data!L139="Accept&amp;#233;"),Data!R139,"")</f>
      </c>
      <c r="F310" s="65">
        <f>IF(AND(Data!R139&lt;&gt;"",Data!L139="Accept&amp;#233;"),Data!S139,"")</f>
      </c>
      <c r="G310" s="66">
        <f>IF(Data!R139='Delivery Plan'!E310,Data!U139,"")</f>
      </c>
      <c r="H310" s="53"/>
      <c r="I310" s="63">
        <f>IF(J310&lt;&gt;"","S"&amp;TEXT(WEEKNUM(J310),"00"),"")</f>
      </c>
      <c r="J310" s="42">
        <f>IF(AND(E310=Data!R139,Data!AA139&lt;&gt;""),Data!AA139,"")</f>
        <v>25569.041666666668</v>
      </c>
      <c r="K310" s="67">
        <f>IF(AND(E310=Data!R139,Data!AE139&lt;&gt;""),Data!AE139,"")</f>
        <v>25569.041666666668</v>
      </c>
      <c r="L310" s="68">
        <f>IF(E310=Data!R152,Data!AI152,"")</f>
      </c>
      <c r="M310" s="68">
        <f>IF(E310=Data!R152,Data!AJ152,"")</f>
      </c>
      <c r="N310" s="69">
        <f>IF(AND(Data!R152&lt;&gt;"",Data!L152="Accept&amp;#233;"),Data!K152,"")</f>
      </c>
    </row>
    <row x14ac:dyDescent="0.25" r="311" customHeight="1" ht="19.5" hidden="1">
      <c r="A311" s="62">
        <f>IF(AND(Data!R140&lt;&gt;"",Data!L140="Accept&amp;#233;"),Data!G140,"")</f>
      </c>
      <c r="B311" s="62">
        <f>IF(AND(Data!R140&lt;&gt;"",Data!L140="Accept&amp;#233;"),Data!L140,"")</f>
      </c>
      <c r="C311" s="63">
        <f>IF(D311&lt;&gt;"","S"&amp;TEXT(WEEKNUM(D311),"00"),"")</f>
      </c>
      <c r="D311" s="42">
        <f>IF(AND(Data!Q140&lt;&gt;"",Data!L140="Accept&amp;#233;"),Data!Q140,"")</f>
        <v>25569.041666666668</v>
      </c>
      <c r="E311" s="64">
        <f>IF(AND(Data!R140&lt;&gt;"",Data!L140="Accept&amp;#233;"),Data!R140,"")</f>
      </c>
      <c r="F311" s="65">
        <f>IF(AND(Data!R140&lt;&gt;"",Data!L140="Accept&amp;#233;"),Data!S140,"")</f>
      </c>
      <c r="G311" s="66">
        <f>IF(Data!R140='Delivery Plan'!E311,Data!U140,"")</f>
      </c>
      <c r="H311" s="53"/>
      <c r="I311" s="63">
        <f>IF(J311&lt;&gt;"","S"&amp;TEXT(WEEKNUM(J311),"00"),"")</f>
      </c>
      <c r="J311" s="42">
        <f>IF(AND(E311=Data!R140,Data!AA140&lt;&gt;""),Data!AA140,"")</f>
        <v>25569.041666666668</v>
      </c>
      <c r="K311" s="67">
        <f>IF(AND(E311=Data!R140,Data!AE140&lt;&gt;""),Data!AE140,"")</f>
        <v>25569.041666666668</v>
      </c>
      <c r="L311" s="68">
        <f>IF(E311=Data!R153,Data!AI153,"")</f>
      </c>
      <c r="M311" s="68">
        <f>IF(E311=Data!R153,Data!AJ153,"")</f>
      </c>
      <c r="N311" s="69">
        <f>IF(AND(Data!R153&lt;&gt;"",Data!L153="Accept&amp;#233;"),Data!K153,"")</f>
      </c>
    </row>
    <row x14ac:dyDescent="0.25" r="312" customHeight="1" ht="19.5" hidden="1">
      <c r="A312" s="62">
        <f>IF(AND(Data!R141&lt;&gt;"",Data!L141="Accept&amp;#233;"),Data!G141,"")</f>
      </c>
      <c r="B312" s="62">
        <f>IF(AND(Data!R141&lt;&gt;"",Data!L141="Accept&amp;#233;"),Data!L141,"")</f>
      </c>
      <c r="C312" s="63">
        <f>IF(D312&lt;&gt;"","S"&amp;TEXT(WEEKNUM(D312),"00"),"")</f>
      </c>
      <c r="D312" s="42">
        <f>IF(AND(Data!Q141&lt;&gt;"",Data!L141="Accept&amp;#233;"),Data!Q141,"")</f>
        <v>25569.041666666668</v>
      </c>
      <c r="E312" s="64">
        <f>IF(AND(Data!R141&lt;&gt;"",Data!L141="Accept&amp;#233;"),Data!R141,"")</f>
      </c>
      <c r="F312" s="65">
        <f>IF(AND(Data!R141&lt;&gt;"",Data!L141="Accept&amp;#233;"),Data!S141,"")</f>
      </c>
      <c r="G312" s="66">
        <f>IF(Data!R141='Delivery Plan'!E312,Data!U141,"")</f>
      </c>
      <c r="H312" s="53"/>
      <c r="I312" s="63">
        <f>IF(J312&lt;&gt;"","S"&amp;TEXT(WEEKNUM(J312),"00"),"")</f>
      </c>
      <c r="J312" s="42">
        <f>IF(AND(E312=Data!R141,Data!AA141&lt;&gt;""),Data!AA141,"")</f>
        <v>25569.041666666668</v>
      </c>
      <c r="K312" s="67">
        <f>IF(AND(E312=Data!R141,Data!AE141&lt;&gt;""),Data!AE141,"")</f>
        <v>25569.041666666668</v>
      </c>
      <c r="L312" s="68">
        <f>IF(E312=Data!R154,Data!AI154,"")</f>
      </c>
      <c r="M312" s="68">
        <f>IF(E312=Data!R154,Data!AJ154,"")</f>
      </c>
      <c r="N312" s="69">
        <f>IF(AND(Data!R154&lt;&gt;"",Data!L154="Accept&amp;#233;"),Data!K154,"")</f>
      </c>
    </row>
    <row x14ac:dyDescent="0.25" r="313" customHeight="1" ht="19.5" hidden="1">
      <c r="A313" s="62">
        <f>IF(AND(Data!R142&lt;&gt;"",Data!L142="Accept&amp;#233;"),Data!G142,"")</f>
      </c>
      <c r="B313" s="62">
        <f>IF(AND(Data!R142&lt;&gt;"",Data!L142="Accept&amp;#233;"),Data!L142,"")</f>
      </c>
      <c r="C313" s="63">
        <f>IF(D313&lt;&gt;"","S"&amp;TEXT(WEEKNUM(D313),"00"),"")</f>
      </c>
      <c r="D313" s="42">
        <f>IF(AND(Data!Q142&lt;&gt;"",Data!L142="Accept&amp;#233;"),Data!Q142,"")</f>
        <v>25569.041666666668</v>
      </c>
      <c r="E313" s="64">
        <f>IF(AND(Data!R142&lt;&gt;"",Data!L142="Accept&amp;#233;"),Data!R142,"")</f>
      </c>
      <c r="F313" s="65">
        <f>IF(AND(Data!R142&lt;&gt;"",Data!L142="Accept&amp;#233;"),Data!S142,"")</f>
      </c>
      <c r="G313" s="66">
        <f>IF(Data!R142='Delivery Plan'!E313,Data!U142,"")</f>
      </c>
      <c r="H313" s="53"/>
      <c r="I313" s="63">
        <f>IF(J313&lt;&gt;"","S"&amp;TEXT(WEEKNUM(J313),"00"),"")</f>
      </c>
      <c r="J313" s="42">
        <f>IF(AND(E313=Data!R142,Data!AA142&lt;&gt;""),Data!AA142,"")</f>
        <v>25569.041666666668</v>
      </c>
      <c r="K313" s="67">
        <f>IF(AND(E313=Data!R142,Data!AE142&lt;&gt;""),Data!AE142,"")</f>
        <v>25569.041666666668</v>
      </c>
      <c r="L313" s="68">
        <f>IF(E313=Data!R155,Data!AI155,"")</f>
      </c>
      <c r="M313" s="68">
        <f>IF(E313=Data!R155,Data!AJ155,"")</f>
      </c>
      <c r="N313" s="69">
        <f>IF(AND(Data!R155&lt;&gt;"",Data!L155="Accept&amp;#233;"),Data!K155,"")</f>
      </c>
    </row>
    <row x14ac:dyDescent="0.25" r="314" customHeight="1" ht="19.5" hidden="1">
      <c r="A314" s="62">
        <f>IF(AND(Data!R143&lt;&gt;"",Data!L143="Accept&amp;#233;"),Data!G143,"")</f>
      </c>
      <c r="B314" s="62">
        <f>IF(AND(Data!R143&lt;&gt;"",Data!L143="Accept&amp;#233;"),Data!L143,"")</f>
      </c>
      <c r="C314" s="63">
        <f>IF(D314&lt;&gt;"","S"&amp;TEXT(WEEKNUM(D314),"00"),"")</f>
      </c>
      <c r="D314" s="42">
        <f>IF(AND(Data!Q143&lt;&gt;"",Data!L143="Accept&amp;#233;"),Data!Q143,"")</f>
        <v>25569.041666666668</v>
      </c>
      <c r="E314" s="64">
        <f>IF(AND(Data!R143&lt;&gt;"",Data!L143="Accept&amp;#233;"),Data!R143,"")</f>
      </c>
      <c r="F314" s="65">
        <f>IF(AND(Data!R143&lt;&gt;"",Data!L143="Accept&amp;#233;"),Data!S143,"")</f>
      </c>
      <c r="G314" s="66">
        <f>IF(Data!R143='Delivery Plan'!E314,Data!U143,"")</f>
      </c>
      <c r="H314" s="53"/>
      <c r="I314" s="63">
        <f>IF(J314&lt;&gt;"","S"&amp;TEXT(WEEKNUM(J314),"00"),"")</f>
      </c>
      <c r="J314" s="42">
        <f>IF(AND(E314=Data!R143,Data!AA143&lt;&gt;""),Data!AA143,"")</f>
        <v>25569.041666666668</v>
      </c>
      <c r="K314" s="67">
        <f>IF(AND(E314=Data!R143,Data!AE143&lt;&gt;""),Data!AE143,"")</f>
        <v>25569.041666666668</v>
      </c>
      <c r="L314" s="68">
        <f>IF(E314=Data!R156,Data!AI156,"")</f>
      </c>
      <c r="M314" s="68">
        <f>IF(E314=Data!R156,Data!AJ156,"")</f>
      </c>
      <c r="N314" s="69">
        <f>IF(AND(Data!R156&lt;&gt;"",Data!L156="Accept&amp;#233;"),Data!K156,"")</f>
      </c>
    </row>
    <row x14ac:dyDescent="0.25" r="315" customHeight="1" ht="19.5" hidden="1">
      <c r="A315" s="62">
        <f>IF(AND(Data!R144&lt;&gt;"",Data!L144="Accept&amp;#233;"),Data!G144,"")</f>
      </c>
      <c r="B315" s="62">
        <f>IF(AND(Data!R144&lt;&gt;"",Data!L144="Accept&amp;#233;"),Data!L144,"")</f>
      </c>
      <c r="C315" s="63">
        <f>IF(D315&lt;&gt;"","S"&amp;TEXT(WEEKNUM(D315),"00"),"")</f>
      </c>
      <c r="D315" s="42">
        <f>IF(AND(Data!Q144&lt;&gt;"",Data!L144="Accept&amp;#233;"),Data!Q144,"")</f>
        <v>25569.041666666668</v>
      </c>
      <c r="E315" s="64">
        <f>IF(AND(Data!R144&lt;&gt;"",Data!L144="Accept&amp;#233;"),Data!R144,"")</f>
      </c>
      <c r="F315" s="65">
        <f>IF(AND(Data!R144&lt;&gt;"",Data!L144="Accept&amp;#233;"),Data!S144,"")</f>
      </c>
      <c r="G315" s="66">
        <f>IF(Data!R144='Delivery Plan'!E315,Data!U144,"")</f>
      </c>
      <c r="H315" s="53"/>
      <c r="I315" s="63">
        <f>IF(J315&lt;&gt;"","S"&amp;TEXT(WEEKNUM(J315),"00"),"")</f>
      </c>
      <c r="J315" s="42">
        <f>IF(AND(E315=Data!R144,Data!AA144&lt;&gt;""),Data!AA144,"")</f>
        <v>25569.041666666668</v>
      </c>
      <c r="K315" s="67">
        <f>IF(AND(E315=Data!R144,Data!AE144&lt;&gt;""),Data!AE144,"")</f>
        <v>25569.041666666668</v>
      </c>
      <c r="L315" s="68">
        <f>IF(E315=Data!R157,Data!AI157,"")</f>
      </c>
      <c r="M315" s="68">
        <f>IF(E315=Data!R157,Data!AJ157,"")</f>
      </c>
      <c r="N315" s="69">
        <f>IF(AND(Data!R157&lt;&gt;"",Data!L157="Accept&amp;#233;"),Data!K157,"")</f>
      </c>
    </row>
    <row x14ac:dyDescent="0.25" r="316" customHeight="1" ht="19.5" hidden="1">
      <c r="A316" s="62">
        <f>IF(AND(Data!R145&lt;&gt;"",Data!L145="Accept&amp;#233;"),Data!G145,"")</f>
      </c>
      <c r="B316" s="62">
        <f>IF(AND(Data!R145&lt;&gt;"",Data!L145="Accept&amp;#233;"),Data!L145,"")</f>
      </c>
      <c r="C316" s="63">
        <f>IF(D316&lt;&gt;"","S"&amp;TEXT(WEEKNUM(D316),"00"),"")</f>
      </c>
      <c r="D316" s="42">
        <f>IF(AND(Data!Q145&lt;&gt;"",Data!L145="Accept&amp;#233;"),Data!Q145,"")</f>
        <v>25569.041666666668</v>
      </c>
      <c r="E316" s="64">
        <f>IF(AND(Data!R145&lt;&gt;"",Data!L145="Accept&amp;#233;"),Data!R145,"")</f>
      </c>
      <c r="F316" s="65">
        <f>IF(AND(Data!R145&lt;&gt;"",Data!L145="Accept&amp;#233;"),Data!S145,"")</f>
      </c>
      <c r="G316" s="66">
        <f>IF(Data!R145='Delivery Plan'!E316,Data!U145,"")</f>
      </c>
      <c r="H316" s="53"/>
      <c r="I316" s="63">
        <f>IF(J316&lt;&gt;"","S"&amp;TEXT(WEEKNUM(J316),"00"),"")</f>
      </c>
      <c r="J316" s="42">
        <f>IF(AND(E316=Data!R145,Data!AA145&lt;&gt;""),Data!AA145,"")</f>
        <v>25569.041666666668</v>
      </c>
      <c r="K316" s="67">
        <f>IF(AND(E316=Data!R145,Data!AE145&lt;&gt;""),Data!AE145,"")</f>
        <v>25569.041666666668</v>
      </c>
      <c r="L316" s="68">
        <f>IF(E316=Data!R158,Data!AI158,"")</f>
      </c>
      <c r="M316" s="68">
        <f>IF(E316=Data!R158,Data!AJ158,"")</f>
      </c>
      <c r="N316" s="69">
        <f>IF(AND(Data!R158&lt;&gt;"",Data!L158="Accept&amp;#233;"),Data!K158,"")</f>
      </c>
    </row>
    <row x14ac:dyDescent="0.25" r="317" customHeight="1" ht="19.5" hidden="1">
      <c r="A317" s="62">
        <f>IF(AND(Data!R147&lt;&gt;"",Data!L147="Accept&amp;#233;"),Data!G147,"")</f>
      </c>
      <c r="B317" s="62">
        <f>IF(AND(Data!R147&lt;&gt;"",Data!L147="Accept&amp;#233;"),Data!L147,"")</f>
      </c>
      <c r="C317" s="63">
        <f>IF(D317&lt;&gt;"","S"&amp;TEXT(WEEKNUM(D317),"00"),"")</f>
      </c>
      <c r="D317" s="42">
        <f>IF(AND(Data!Q147&lt;&gt;"",Data!L147="Accept&amp;#233;"),Data!Q147,"")</f>
        <v>25569.041666666668</v>
      </c>
      <c r="E317" s="64">
        <f>IF(AND(Data!R147&lt;&gt;"",Data!L147="Accept&amp;#233;"),Data!R147,"")</f>
      </c>
      <c r="F317" s="65">
        <f>IF(AND(Data!R147&lt;&gt;"",Data!L147="Accept&amp;#233;"),Data!S147,"")</f>
      </c>
      <c r="G317" s="66">
        <f>IF(Data!R147='Delivery Plan'!E317,Data!U147,"")</f>
      </c>
      <c r="H317" s="53"/>
      <c r="I317" s="63">
        <f>IF(J317&lt;&gt;"","S"&amp;TEXT(WEEKNUM(J317),"00"),"")</f>
      </c>
      <c r="J317" s="42">
        <f>IF(AND(E317=Data!R147,Data!AA147&lt;&gt;""),Data!AA147,"")</f>
        <v>25569.041666666668</v>
      </c>
      <c r="K317" s="67">
        <f>IF(AND(E317=Data!R147,Data!AE147&lt;&gt;""),Data!AE147,"")</f>
        <v>25569.041666666668</v>
      </c>
      <c r="L317" s="68">
        <f>IF(E317=Data!R159,Data!AI159,"")</f>
      </c>
      <c r="M317" s="68">
        <f>IF(E317=Data!R159,Data!AJ159,"")</f>
      </c>
      <c r="N317" s="69">
        <f>IF(AND(Data!R159&lt;&gt;"",Data!L159="Accept&amp;#233;"),Data!K159,"")</f>
      </c>
    </row>
    <row x14ac:dyDescent="0.25" r="318" customHeight="1" ht="19.5" hidden="1">
      <c r="A318" s="62">
        <f>IF(AND(Data!R148&lt;&gt;"",Data!L148="Accept&amp;#233;"),Data!G148,"")</f>
      </c>
      <c r="B318" s="62">
        <f>IF(AND(Data!R148&lt;&gt;"",Data!L148="Accept&amp;#233;"),Data!L148,"")</f>
      </c>
      <c r="C318" s="63">
        <f>IF(D318&lt;&gt;"","S"&amp;TEXT(WEEKNUM(D318),"00"),"")</f>
      </c>
      <c r="D318" s="42">
        <f>IF(AND(Data!Q148&lt;&gt;"",Data!L148="Accept&amp;#233;"),Data!Q148,"")</f>
        <v>25569.041666666668</v>
      </c>
      <c r="E318" s="64">
        <f>IF(AND(Data!R148&lt;&gt;"",Data!L148="Accept&amp;#233;"),Data!R148,"")</f>
      </c>
      <c r="F318" s="65">
        <f>IF(AND(Data!R148&lt;&gt;"",Data!L148="Accept&amp;#233;"),Data!S148,"")</f>
      </c>
      <c r="G318" s="66">
        <f>IF(Data!R148='Delivery Plan'!E318,Data!U148,"")</f>
      </c>
      <c r="H318" s="53"/>
      <c r="I318" s="63">
        <f>IF(J318&lt;&gt;"","S"&amp;TEXT(WEEKNUM(J318),"00"),"")</f>
      </c>
      <c r="J318" s="42">
        <f>IF(AND(E318=Data!R148,Data!AA148&lt;&gt;""),Data!AA148,"")</f>
        <v>25569.041666666668</v>
      </c>
      <c r="K318" s="67">
        <f>IF(AND(E318=Data!R148,Data!AE148&lt;&gt;""),Data!AE148,"")</f>
        <v>25569.041666666668</v>
      </c>
      <c r="L318" s="68">
        <f>IF(E318=Data!R160,Data!AI160,"")</f>
      </c>
      <c r="M318" s="68">
        <f>IF(E318=Data!R160,Data!AJ160,"")</f>
      </c>
      <c r="N318" s="69">
        <f>IF(AND(Data!R160&lt;&gt;"",Data!L160="Accept&amp;#233;"),Data!K160,"")</f>
      </c>
    </row>
    <row x14ac:dyDescent="0.25" r="319" customHeight="1" ht="19.5" hidden="1">
      <c r="A319" s="62">
        <f>IF(AND(Data!R149&lt;&gt;"",Data!L149="Accept&amp;#233;"),Data!G149,"")</f>
      </c>
      <c r="B319" s="62">
        <f>IF(AND(Data!R149&lt;&gt;"",Data!L149="Accept&amp;#233;"),Data!L149,"")</f>
      </c>
      <c r="C319" s="63">
        <f>IF(D319&lt;&gt;"","S"&amp;TEXT(WEEKNUM(D319),"00"),"")</f>
      </c>
      <c r="D319" s="42">
        <f>IF(AND(Data!Q149&lt;&gt;"",Data!L149="Accept&amp;#233;"),Data!Q149,"")</f>
        <v>25569.041666666668</v>
      </c>
      <c r="E319" s="64">
        <f>IF(AND(Data!R149&lt;&gt;"",Data!L149="Accept&amp;#233;"),Data!R149,"")</f>
      </c>
      <c r="F319" s="65">
        <f>IF(AND(Data!R149&lt;&gt;"",Data!L149="Accept&amp;#233;"),Data!S149,"")</f>
      </c>
      <c r="G319" s="66">
        <f>IF(Data!R149='Delivery Plan'!E319,Data!U149,"")</f>
      </c>
      <c r="H319" s="53"/>
      <c r="I319" s="63">
        <f>IF(J319&lt;&gt;"","S"&amp;TEXT(WEEKNUM(J319),"00"),"")</f>
      </c>
      <c r="J319" s="42">
        <f>IF(AND(E319=Data!R149,Data!AA149&lt;&gt;""),Data!AA149,"")</f>
        <v>25569.041666666668</v>
      </c>
      <c r="K319" s="67">
        <f>IF(AND(E319=Data!R149,Data!AE149&lt;&gt;""),Data!AE149,"")</f>
        <v>25569.041666666668</v>
      </c>
      <c r="L319" s="68">
        <f>IF(E319=Data!R161,Data!AI161,"")</f>
      </c>
      <c r="M319" s="68">
        <f>IF(E319=Data!R161,Data!AJ161,"")</f>
      </c>
      <c r="N319" s="69">
        <f>IF(AND(Data!R161&lt;&gt;"",Data!L161="Accept&amp;#233;"),Data!K161,"")</f>
      </c>
    </row>
    <row x14ac:dyDescent="0.25" r="320" customHeight="1" ht="19.5" hidden="1">
      <c r="A320" s="62">
        <f>IF(AND(Data!R150&lt;&gt;"",Data!L150="Accept&amp;#233;"),Data!G150,"")</f>
      </c>
      <c r="B320" s="62">
        <f>IF(AND(Data!R150&lt;&gt;"",Data!L150="Accept&amp;#233;"),Data!L150,"")</f>
      </c>
      <c r="C320" s="63">
        <f>IF(D320&lt;&gt;"","S"&amp;TEXT(WEEKNUM(D320),"00"),"")</f>
      </c>
      <c r="D320" s="42">
        <f>IF(AND(Data!Q150&lt;&gt;"",Data!L150="Accept&amp;#233;"),Data!Q150,"")</f>
        <v>25569.041666666668</v>
      </c>
      <c r="E320" s="64">
        <f>IF(AND(Data!R150&lt;&gt;"",Data!L150="Accept&amp;#233;"),Data!R150,"")</f>
      </c>
      <c r="F320" s="65">
        <f>IF(AND(Data!R150&lt;&gt;"",Data!L150="Accept&amp;#233;"),Data!S150,"")</f>
      </c>
      <c r="G320" s="66">
        <f>IF(Data!R150='Delivery Plan'!E320,Data!U150,"")</f>
      </c>
      <c r="H320" s="53"/>
      <c r="I320" s="63">
        <f>IF(J320&lt;&gt;"","S"&amp;TEXT(WEEKNUM(J320),"00"),"")</f>
      </c>
      <c r="J320" s="42">
        <f>IF(AND(E320=Data!R150,Data!AA150&lt;&gt;""),Data!AA150,"")</f>
        <v>25569.041666666668</v>
      </c>
      <c r="K320" s="67">
        <f>IF(AND(E320=Data!R150,Data!AE150&lt;&gt;""),Data!AE150,"")</f>
        <v>25569.041666666668</v>
      </c>
      <c r="L320" s="68">
        <f>IF(E320=Data!R162,Data!AI162,"")</f>
      </c>
      <c r="M320" s="68">
        <f>IF(E320=Data!R162,Data!AJ162,"")</f>
      </c>
      <c r="N320" s="69">
        <f>IF(AND(Data!R162&lt;&gt;"",Data!L162="Accept&amp;#233;"),Data!K162,"")</f>
      </c>
    </row>
    <row x14ac:dyDescent="0.25" r="321" customHeight="1" ht="19.5" hidden="1">
      <c r="A321" s="62">
        <f>IF(AND(Data!R151&lt;&gt;"",Data!L151="Accept&amp;#233;"),Data!G151,"")</f>
      </c>
      <c r="B321" s="62">
        <f>IF(AND(Data!R151&lt;&gt;"",Data!L151="Accept&amp;#233;"),Data!L151,"")</f>
      </c>
      <c r="C321" s="63">
        <f>IF(D321&lt;&gt;"","S"&amp;TEXT(WEEKNUM(D321),"00"),"")</f>
      </c>
      <c r="D321" s="42">
        <f>IF(AND(Data!Q151&lt;&gt;"",Data!L151="Accept&amp;#233;"),Data!Q151,"")</f>
        <v>25569.041666666668</v>
      </c>
      <c r="E321" s="64">
        <f>IF(AND(Data!R151&lt;&gt;"",Data!L151="Accept&amp;#233;"),Data!R151,"")</f>
      </c>
      <c r="F321" s="65">
        <f>IF(AND(Data!R151&lt;&gt;"",Data!L151="Accept&amp;#233;"),Data!S151,"")</f>
      </c>
      <c r="G321" s="66">
        <f>IF(Data!R151='Delivery Plan'!E321,Data!U151,"")</f>
      </c>
      <c r="H321" s="53"/>
      <c r="I321" s="63">
        <f>IF(J321&lt;&gt;"","S"&amp;TEXT(WEEKNUM(J321),"00"),"")</f>
      </c>
      <c r="J321" s="42">
        <f>IF(AND(E321=Data!R151,Data!AA151&lt;&gt;""),Data!AA151,"")</f>
        <v>25569.041666666668</v>
      </c>
      <c r="K321" s="67">
        <f>IF(AND(E321=Data!R151,Data!AE151&lt;&gt;""),Data!AE151,"")</f>
        <v>25569.041666666668</v>
      </c>
      <c r="L321" s="68">
        <f>IF(E321=Data!R163,Data!AI163,"")</f>
      </c>
      <c r="M321" s="68">
        <f>IF(E321=Data!R163,Data!AJ163,"")</f>
      </c>
      <c r="N321" s="69">
        <f>IF(AND(Data!R163&lt;&gt;"",Data!L163="Accept&amp;#233;"),Data!K163,"")</f>
      </c>
    </row>
    <row x14ac:dyDescent="0.25" r="322" customHeight="1" ht="19.5" hidden="1">
      <c r="A322" s="62">
        <f>IF(AND(Data!R152&lt;&gt;"",Data!L152="Accept&amp;#233;"),Data!G152,"")</f>
      </c>
      <c r="B322" s="62">
        <f>IF(AND(Data!R152&lt;&gt;"",Data!L152="Accept&amp;#233;"),Data!L152,"")</f>
      </c>
      <c r="C322" s="63">
        <f>IF(D322&lt;&gt;"","S"&amp;TEXT(WEEKNUM(D322),"00"),"")</f>
      </c>
      <c r="D322" s="42">
        <f>IF(AND(Data!Q152&lt;&gt;"",Data!L152="Accept&amp;#233;"),Data!Q152,"")</f>
        <v>25569.041666666668</v>
      </c>
      <c r="E322" s="64">
        <f>IF(AND(Data!R152&lt;&gt;"",Data!L152="Accept&amp;#233;"),Data!R152,"")</f>
      </c>
      <c r="F322" s="65">
        <f>IF(AND(Data!R152&lt;&gt;"",Data!L152="Accept&amp;#233;"),Data!S152,"")</f>
      </c>
      <c r="G322" s="66">
        <f>IF(Data!R152='Delivery Plan'!E322,Data!U152,"")</f>
      </c>
      <c r="H322" s="53"/>
      <c r="I322" s="63">
        <f>IF(J322&lt;&gt;"","S"&amp;TEXT(WEEKNUM(J322),"00"),"")</f>
      </c>
      <c r="J322" s="42">
        <f>IF(AND(E322=Data!R152,Data!AA152&lt;&gt;""),Data!AA152,"")</f>
        <v>25569.041666666668</v>
      </c>
      <c r="K322" s="67">
        <f>IF(AND(E322=Data!R152,Data!AE152&lt;&gt;""),Data!AE152,"")</f>
        <v>25569.041666666668</v>
      </c>
      <c r="L322" s="68">
        <f>IF(E322=Data!R164,Data!AI164,"")</f>
      </c>
      <c r="M322" s="68">
        <f>IF(E322=Data!R164,Data!AJ164,"")</f>
      </c>
      <c r="N322" s="69">
        <f>IF(AND(Data!R164&lt;&gt;"",Data!L164="Accept&amp;#233;"),Data!K164,"")</f>
      </c>
    </row>
    <row x14ac:dyDescent="0.25" r="323" customHeight="1" ht="19.5" hidden="1">
      <c r="A323" s="62">
        <f>IF(AND(Data!R153&lt;&gt;"",Data!L153="Accept&amp;#233;"),Data!G153,"")</f>
      </c>
      <c r="B323" s="62">
        <f>IF(AND(Data!R153&lt;&gt;"",Data!L153="Accept&amp;#233;"),Data!L153,"")</f>
      </c>
      <c r="C323" s="63">
        <f>IF(D323&lt;&gt;"","S"&amp;TEXT(WEEKNUM(D323),"00"),"")</f>
      </c>
      <c r="D323" s="42">
        <f>IF(AND(Data!Q153&lt;&gt;"",Data!L153="Accept&amp;#233;"),Data!Q153,"")</f>
        <v>25569.041666666668</v>
      </c>
      <c r="E323" s="64">
        <f>IF(AND(Data!R153&lt;&gt;"",Data!L153="Accept&amp;#233;"),Data!R153,"")</f>
      </c>
      <c r="F323" s="65">
        <f>IF(AND(Data!R153&lt;&gt;"",Data!L153="Accept&amp;#233;"),Data!S153,"")</f>
      </c>
      <c r="G323" s="66">
        <f>IF(Data!R153='Delivery Plan'!E323,Data!U153,"")</f>
      </c>
      <c r="H323" s="53"/>
      <c r="I323" s="63">
        <f>IF(J323&lt;&gt;"","S"&amp;TEXT(WEEKNUM(J323),"00"),"")</f>
      </c>
      <c r="J323" s="42">
        <f>IF(AND(E323=Data!R153,Data!AA153&lt;&gt;""),Data!AA153,"")</f>
        <v>25569.041666666668</v>
      </c>
      <c r="K323" s="67">
        <f>IF(AND(E323=Data!R153,Data!AE153&lt;&gt;""),Data!AE153,"")</f>
        <v>25569.041666666668</v>
      </c>
      <c r="L323" s="68">
        <f>IF(E323=Data!R165,Data!AI165,"")</f>
      </c>
      <c r="M323" s="68">
        <f>IF(E323=Data!R165,Data!AJ165,"")</f>
      </c>
      <c r="N323" s="69">
        <f>IF(AND(Data!R165&lt;&gt;"",Data!L165="Accept&amp;#233;"),Data!K165,"")</f>
      </c>
    </row>
    <row x14ac:dyDescent="0.25" r="324" customHeight="1" ht="19.5" hidden="1">
      <c r="A324" s="62">
        <f>IF(AND(Data!R154&lt;&gt;"",Data!L154="Accept&amp;#233;"),Data!G154,"")</f>
      </c>
      <c r="B324" s="62">
        <f>IF(AND(Data!R154&lt;&gt;"",Data!L154="Accept&amp;#233;"),Data!L154,"")</f>
      </c>
      <c r="C324" s="63">
        <f>IF(D324&lt;&gt;"","S"&amp;TEXT(WEEKNUM(D324),"00"),"")</f>
      </c>
      <c r="D324" s="42">
        <f>IF(AND(Data!Q154&lt;&gt;"",Data!L154="Accept&amp;#233;"),Data!Q154,"")</f>
        <v>25569.041666666668</v>
      </c>
      <c r="E324" s="64">
        <f>IF(AND(Data!R154&lt;&gt;"",Data!L154="Accept&amp;#233;"),Data!R154,"")</f>
      </c>
      <c r="F324" s="65">
        <f>IF(AND(Data!R154&lt;&gt;"",Data!L154="Accept&amp;#233;"),Data!S154,"")</f>
      </c>
      <c r="G324" s="66">
        <f>IF(Data!R154='Delivery Plan'!E324,Data!U154,"")</f>
      </c>
      <c r="H324" s="53"/>
      <c r="I324" s="63">
        <f>IF(J324&lt;&gt;"","S"&amp;TEXT(WEEKNUM(J324),"00"),"")</f>
      </c>
      <c r="J324" s="42">
        <f>IF(AND(E324=Data!R154,Data!AA154&lt;&gt;""),Data!AA154,"")</f>
        <v>25569.041666666668</v>
      </c>
      <c r="K324" s="67">
        <f>IF(AND(E324=Data!R154,Data!AE154&lt;&gt;""),Data!AE154,"")</f>
        <v>25569.041666666668</v>
      </c>
      <c r="L324" s="68">
        <f>IF(E324=Data!R166,Data!AI166,"")</f>
      </c>
      <c r="M324" s="68">
        <f>IF(E324=Data!R166,Data!AJ166,"")</f>
      </c>
      <c r="N324" s="69">
        <f>IF(AND(Data!R166&lt;&gt;"",Data!L166="Accept&amp;#233;"),Data!K166,"")</f>
      </c>
    </row>
    <row x14ac:dyDescent="0.25" r="325" customHeight="1" ht="19.5" hidden="1">
      <c r="A325" s="62">
        <f>IF(AND(Data!R155&lt;&gt;"",Data!L155="Accept&amp;#233;"),Data!G155,"")</f>
      </c>
      <c r="B325" s="62">
        <f>IF(AND(Data!R155&lt;&gt;"",Data!L155="Accept&amp;#233;"),Data!L155,"")</f>
      </c>
      <c r="C325" s="63">
        <f>IF(D325&lt;&gt;"","S"&amp;TEXT(WEEKNUM(D325),"00"),"")</f>
      </c>
      <c r="D325" s="42">
        <f>IF(AND(Data!Q155&lt;&gt;"",Data!L155="Accept&amp;#233;"),Data!Q155,"")</f>
        <v>25569.041666666668</v>
      </c>
      <c r="E325" s="64">
        <f>IF(AND(Data!R155&lt;&gt;"",Data!L155="Accept&amp;#233;"),Data!R155,"")</f>
      </c>
      <c r="F325" s="65">
        <f>IF(AND(Data!R155&lt;&gt;"",Data!L155="Accept&amp;#233;"),Data!S155,"")</f>
      </c>
      <c r="G325" s="66">
        <f>IF(Data!R155='Delivery Plan'!E325,Data!U155,"")</f>
      </c>
      <c r="H325" s="53"/>
      <c r="I325" s="63">
        <f>IF(J325&lt;&gt;"","S"&amp;TEXT(WEEKNUM(J325),"00"),"")</f>
      </c>
      <c r="J325" s="42">
        <f>IF(AND(E325=Data!R155,Data!AA155&lt;&gt;""),Data!AA155,"")</f>
        <v>25569.041666666668</v>
      </c>
      <c r="K325" s="67">
        <f>IF(AND(E325=Data!R155,Data!AE155&lt;&gt;""),Data!AE155,"")</f>
        <v>25569.041666666668</v>
      </c>
      <c r="L325" s="68">
        <f>IF(E325=Data!R167,Data!AI167,"")</f>
      </c>
      <c r="M325" s="68">
        <f>IF(E325=Data!R167,Data!AJ167,"")</f>
      </c>
      <c r="N325" s="69">
        <f>IF(AND(Data!R167&lt;&gt;"",Data!L167="Accept&amp;#233;"),Data!K167,"")</f>
      </c>
    </row>
    <row x14ac:dyDescent="0.25" r="326" customHeight="1" ht="19.5" hidden="1">
      <c r="A326" s="62">
        <f>IF(AND(Data!R156&lt;&gt;"",Data!L156="Accept&amp;#233;"),Data!G156,"")</f>
      </c>
      <c r="B326" s="62">
        <f>IF(AND(Data!R156&lt;&gt;"",Data!L156="Accept&amp;#233;"),Data!L156,"")</f>
      </c>
      <c r="C326" s="63">
        <f>IF(D326&lt;&gt;"","S"&amp;TEXT(WEEKNUM(D326),"00"),"")</f>
      </c>
      <c r="D326" s="42">
        <f>IF(AND(Data!Q156&lt;&gt;"",Data!L156="Accept&amp;#233;"),Data!Q156,"")</f>
        <v>25569.041666666668</v>
      </c>
      <c r="E326" s="64">
        <f>IF(AND(Data!R156&lt;&gt;"",Data!L156="Accept&amp;#233;"),Data!R156,"")</f>
      </c>
      <c r="F326" s="65">
        <f>IF(AND(Data!R156&lt;&gt;"",Data!L156="Accept&amp;#233;"),Data!S156,"")</f>
      </c>
      <c r="G326" s="66">
        <f>IF(Data!R156='Delivery Plan'!E326,Data!U156,"")</f>
      </c>
      <c r="H326" s="53"/>
      <c r="I326" s="63">
        <f>IF(J326&lt;&gt;"","S"&amp;TEXT(WEEKNUM(J326),"00"),"")</f>
      </c>
      <c r="J326" s="42">
        <f>IF(AND(E326=Data!R156,Data!AA156&lt;&gt;""),Data!AA156,"")</f>
        <v>25569.041666666668</v>
      </c>
      <c r="K326" s="67">
        <f>IF(AND(E326=Data!R156,Data!AE156&lt;&gt;""),Data!AE156,"")</f>
        <v>25569.041666666668</v>
      </c>
      <c r="L326" s="68">
        <f>IF(E326=Data!R168,Data!AI168,"")</f>
      </c>
      <c r="M326" s="68">
        <f>IF(E326=Data!R168,Data!AJ168,"")</f>
      </c>
      <c r="N326" s="69">
        <f>IF(AND(Data!R168&lt;&gt;"",Data!L168="Accept&amp;#233;"),Data!K168,"")</f>
      </c>
    </row>
    <row x14ac:dyDescent="0.25" r="327" customHeight="1" ht="19.5" hidden="1">
      <c r="A327" s="62">
        <f>IF(AND(Data!R157&lt;&gt;"",Data!L157="Accept&amp;#233;"),Data!G157,"")</f>
      </c>
      <c r="B327" s="62">
        <f>IF(AND(Data!R157&lt;&gt;"",Data!L157="Accept&amp;#233;"),Data!L157,"")</f>
      </c>
      <c r="C327" s="63">
        <f>IF(D327&lt;&gt;"","S"&amp;TEXT(WEEKNUM(D327),"00"),"")</f>
      </c>
      <c r="D327" s="42">
        <f>IF(AND(Data!Q157&lt;&gt;"",Data!L157="Accept&amp;#233;"),Data!Q157,"")</f>
        <v>25569.041666666668</v>
      </c>
      <c r="E327" s="64">
        <f>IF(AND(Data!R157&lt;&gt;"",Data!L157="Accept&amp;#233;"),Data!R157,"")</f>
      </c>
      <c r="F327" s="65">
        <f>IF(AND(Data!R157&lt;&gt;"",Data!L157="Accept&amp;#233;"),Data!S157,"")</f>
      </c>
      <c r="G327" s="66">
        <f>IF(Data!R157='Delivery Plan'!E327,Data!U157,"")</f>
      </c>
      <c r="H327" s="53"/>
      <c r="I327" s="63">
        <f>IF(J327&lt;&gt;"","S"&amp;TEXT(WEEKNUM(J327),"00"),"")</f>
      </c>
      <c r="J327" s="42">
        <f>IF(AND(E327=Data!R157,Data!AA157&lt;&gt;""),Data!AA157,"")</f>
        <v>25569.041666666668</v>
      </c>
      <c r="K327" s="67">
        <f>IF(AND(E327=Data!R157,Data!AE157&lt;&gt;""),Data!AE157,"")</f>
        <v>25569.041666666668</v>
      </c>
      <c r="L327" s="68">
        <f>IF(E327=Data!R169,Data!AI169,"")</f>
      </c>
      <c r="M327" s="68">
        <f>IF(E327=Data!R169,Data!AJ169,"")</f>
      </c>
      <c r="N327" s="69">
        <f>IF(AND(Data!R169&lt;&gt;"",Data!L169="Accept&amp;#233;"),Data!K169,"")</f>
      </c>
    </row>
    <row x14ac:dyDescent="0.25" r="328" customHeight="1" ht="19.5" hidden="1">
      <c r="A328" s="62">
        <f>IF(AND(Data!R158&lt;&gt;"",Data!L158="Accept&amp;#233;"),Data!G158,"")</f>
      </c>
      <c r="B328" s="62">
        <f>IF(AND(Data!R158&lt;&gt;"",Data!L158="Accept&amp;#233;"),Data!L158,"")</f>
      </c>
      <c r="C328" s="63">
        <f>IF(D328&lt;&gt;"","S"&amp;TEXT(WEEKNUM(D328),"00"),"")</f>
      </c>
      <c r="D328" s="42">
        <f>IF(AND(Data!Q158&lt;&gt;"",Data!L158="Accept&amp;#233;"),Data!Q158,"")</f>
        <v>25569.041666666668</v>
      </c>
      <c r="E328" s="64">
        <f>IF(AND(Data!R158&lt;&gt;"",Data!L158="Accept&amp;#233;"),Data!R158,"")</f>
      </c>
      <c r="F328" s="65">
        <f>IF(AND(Data!R158&lt;&gt;"",Data!L158="Accept&amp;#233;"),Data!S158,"")</f>
      </c>
      <c r="G328" s="66">
        <f>IF(Data!R158='Delivery Plan'!E328,Data!U158,"")</f>
      </c>
      <c r="H328" s="53"/>
      <c r="I328" s="63">
        <f>IF(J328&lt;&gt;"","S"&amp;TEXT(WEEKNUM(J328),"00"),"")</f>
      </c>
      <c r="J328" s="42">
        <f>IF(AND(E328=Data!R158,Data!AA158&lt;&gt;""),Data!AA158,"")</f>
        <v>25569.041666666668</v>
      </c>
      <c r="K328" s="67">
        <f>IF(AND(E328=Data!R158,Data!AE158&lt;&gt;""),Data!AE158,"")</f>
        <v>25569.041666666668</v>
      </c>
      <c r="L328" s="68">
        <f>IF(E328=Data!R170,Data!AI170,"")</f>
      </c>
      <c r="M328" s="68">
        <f>IF(E328=Data!R170,Data!AJ170,"")</f>
      </c>
      <c r="N328" s="69">
        <f>IF(AND(Data!R170&lt;&gt;"",Data!L170="Accept&amp;#233;"),Data!K170,"")</f>
      </c>
    </row>
    <row x14ac:dyDescent="0.25" r="329" customHeight="1" ht="19.5" hidden="1">
      <c r="A329" s="62">
        <f>IF(AND(Data!R159&lt;&gt;"",Data!L159="Accept&amp;#233;"),Data!G159,"")</f>
      </c>
      <c r="B329" s="62">
        <f>IF(AND(Data!R159&lt;&gt;"",Data!L159="Accept&amp;#233;"),Data!L159,"")</f>
      </c>
      <c r="C329" s="63">
        <f>IF(D329&lt;&gt;"","S"&amp;TEXT(WEEKNUM(D329),"00"),"")</f>
      </c>
      <c r="D329" s="42">
        <f>IF(AND(Data!Q159&lt;&gt;"",Data!L159="Accept&amp;#233;"),Data!Q159,"")</f>
        <v>25569.041666666668</v>
      </c>
      <c r="E329" s="64">
        <f>IF(AND(Data!R159&lt;&gt;"",Data!L159="Accept&amp;#233;"),Data!R159,"")</f>
      </c>
      <c r="F329" s="65">
        <f>IF(AND(Data!R159&lt;&gt;"",Data!L159="Accept&amp;#233;"),Data!S159,"")</f>
      </c>
      <c r="G329" s="66">
        <f>IF(Data!R159='Delivery Plan'!E329,Data!U159,"")</f>
      </c>
      <c r="H329" s="53"/>
      <c r="I329" s="63">
        <f>IF(J329&lt;&gt;"","S"&amp;TEXT(WEEKNUM(J329),"00"),"")</f>
      </c>
      <c r="J329" s="42">
        <f>IF(AND(E329=Data!R159,Data!AA159&lt;&gt;""),Data!AA159,"")</f>
        <v>25569.041666666668</v>
      </c>
      <c r="K329" s="67">
        <f>IF(AND(E329=Data!R159,Data!AE159&lt;&gt;""),Data!AE159,"")</f>
        <v>25569.041666666668</v>
      </c>
      <c r="L329" s="68">
        <f>IF(E329=Data!R171,Data!AI171,"")</f>
      </c>
      <c r="M329" s="68">
        <f>IF(E329=Data!R171,Data!AJ171,"")</f>
      </c>
      <c r="N329" s="69">
        <f>IF(AND(Data!R171&lt;&gt;"",Data!L171="Accept&amp;#233;"),Data!K171,"")</f>
      </c>
    </row>
    <row x14ac:dyDescent="0.25" r="330" customHeight="1" ht="19.5" hidden="1">
      <c r="A330" s="62">
        <f>IF(AND(Data!R160&lt;&gt;"",Data!L160="Accept&amp;#233;"),Data!G160,"")</f>
      </c>
      <c r="B330" s="62">
        <f>IF(AND(Data!R160&lt;&gt;"",Data!L160="Accept&amp;#233;"),Data!L160,"")</f>
      </c>
      <c r="C330" s="63">
        <f>IF(D330&lt;&gt;"","S"&amp;TEXT(WEEKNUM(D330),"00"),"")</f>
      </c>
      <c r="D330" s="42">
        <f>IF(AND(Data!Q160&lt;&gt;"",Data!L160="Accept&amp;#233;"),Data!Q160,"")</f>
        <v>25569.041666666668</v>
      </c>
      <c r="E330" s="64">
        <f>IF(AND(Data!R160&lt;&gt;"",Data!L160="Accept&amp;#233;"),Data!R160,"")</f>
      </c>
      <c r="F330" s="65">
        <f>IF(AND(Data!R160&lt;&gt;"",Data!L160="Accept&amp;#233;"),Data!S160,"")</f>
      </c>
      <c r="G330" s="66">
        <f>IF(Data!R160='Delivery Plan'!E330,Data!U160,"")</f>
      </c>
      <c r="H330" s="53"/>
      <c r="I330" s="63">
        <f>IF(J330&lt;&gt;"","S"&amp;TEXT(WEEKNUM(J330),"00"),"")</f>
      </c>
      <c r="J330" s="42">
        <f>IF(AND(E330=Data!R160,Data!AA160&lt;&gt;""),Data!AA160,"")</f>
        <v>25569.041666666668</v>
      </c>
      <c r="K330" s="67">
        <f>IF(AND(E330=Data!R160,Data!AE160&lt;&gt;""),Data!AE160,"")</f>
        <v>25569.041666666668</v>
      </c>
      <c r="L330" s="68">
        <f>IF(E330=Data!R172,Data!AI172,"")</f>
      </c>
      <c r="M330" s="68">
        <f>IF(E330=Data!R172,Data!AJ172,"")</f>
      </c>
      <c r="N330" s="69">
        <f>IF(AND(Data!R172&lt;&gt;"",Data!L172="Accept&amp;#233;"),Data!K172,"")</f>
      </c>
    </row>
    <row x14ac:dyDescent="0.25" r="331" customHeight="1" ht="19.5" hidden="1">
      <c r="A331" s="62">
        <f>IF(AND(Data!R161&lt;&gt;"",Data!L161="Accept&amp;#233;"),Data!G161,"")</f>
      </c>
      <c r="B331" s="62">
        <f>IF(AND(Data!R161&lt;&gt;"",Data!L161="Accept&amp;#233;"),Data!L161,"")</f>
      </c>
      <c r="C331" s="63">
        <f>IF(D331&lt;&gt;"","S"&amp;TEXT(WEEKNUM(D331),"00"),"")</f>
      </c>
      <c r="D331" s="42">
        <f>IF(AND(Data!Q161&lt;&gt;"",Data!L161="Accept&amp;#233;"),Data!Q161,"")</f>
        <v>25569.041666666668</v>
      </c>
      <c r="E331" s="64">
        <f>IF(AND(Data!R161&lt;&gt;"",Data!L161="Accept&amp;#233;"),Data!R161,"")</f>
      </c>
      <c r="F331" s="65">
        <f>IF(AND(Data!R161&lt;&gt;"",Data!L161="Accept&amp;#233;"),Data!S161,"")</f>
      </c>
      <c r="G331" s="66">
        <f>IF(Data!R161='Delivery Plan'!E331,Data!U161,"")</f>
      </c>
      <c r="H331" s="53"/>
      <c r="I331" s="63">
        <f>IF(J331&lt;&gt;"","S"&amp;TEXT(WEEKNUM(J331),"00"),"")</f>
      </c>
      <c r="J331" s="42">
        <f>IF(AND(E331=Data!R161,Data!AA161&lt;&gt;""),Data!AA161,"")</f>
        <v>25569.041666666668</v>
      </c>
      <c r="K331" s="67">
        <f>IF(AND(E331=Data!R161,Data!AE161&lt;&gt;""),Data!AE161,"")</f>
        <v>25569.041666666668</v>
      </c>
      <c r="L331" s="68">
        <f>IF(E331=Data!R173,Data!AI173,"")</f>
      </c>
      <c r="M331" s="68">
        <f>IF(E331=Data!R173,Data!AJ173,"")</f>
      </c>
      <c r="N331" s="69">
        <f>IF(AND(Data!R173&lt;&gt;"",Data!L173="Accept&amp;#233;"),Data!K173,"")</f>
      </c>
    </row>
    <row x14ac:dyDescent="0.25" r="332" customHeight="1" ht="19.5" hidden="1">
      <c r="A332" s="62">
        <f>IF(AND(Data!R162&lt;&gt;"",Data!L162="Accept&amp;#233;"),Data!G162,"")</f>
      </c>
      <c r="B332" s="62">
        <f>IF(AND(Data!R162&lt;&gt;"",Data!L162="Accept&amp;#233;"),Data!L162,"")</f>
      </c>
      <c r="C332" s="63">
        <f>IF(D332&lt;&gt;"","S"&amp;TEXT(WEEKNUM(D332),"00"),"")</f>
      </c>
      <c r="D332" s="42">
        <f>IF(AND(Data!Q162&lt;&gt;"",Data!L162="Accept&amp;#233;"),Data!Q162,"")</f>
        <v>25569.041666666668</v>
      </c>
      <c r="E332" s="64">
        <f>IF(AND(Data!R162&lt;&gt;"",Data!L162="Accept&amp;#233;"),Data!R162,"")</f>
      </c>
      <c r="F332" s="65">
        <f>IF(AND(Data!R162&lt;&gt;"",Data!L162="Accept&amp;#233;"),Data!S162,"")</f>
      </c>
      <c r="G332" s="66">
        <f>IF(Data!R162='Delivery Plan'!E332,Data!U162,"")</f>
      </c>
      <c r="H332" s="53"/>
      <c r="I332" s="63">
        <f>IF(J332&lt;&gt;"","S"&amp;TEXT(WEEKNUM(J332),"00"),"")</f>
      </c>
      <c r="J332" s="42">
        <f>IF(AND(E332=Data!R162,Data!AA162&lt;&gt;""),Data!AA162,"")</f>
        <v>25569.041666666668</v>
      </c>
      <c r="K332" s="67">
        <f>IF(AND(E332=Data!R162,Data!AE162&lt;&gt;""),Data!AE162,"")</f>
        <v>25569.041666666668</v>
      </c>
      <c r="L332" s="68">
        <f>IF(E332=Data!R174,Data!AI174,"")</f>
      </c>
      <c r="M332" s="68">
        <f>IF(E332=Data!R174,Data!AJ174,"")</f>
      </c>
      <c r="N332" s="69">
        <f>IF(AND(Data!R174&lt;&gt;"",Data!L174="Accept&amp;#233;"),Data!K174,"")</f>
      </c>
    </row>
    <row x14ac:dyDescent="0.25" r="333" customHeight="1" ht="19.5" hidden="1">
      <c r="A333" s="62">
        <f>IF(AND(Data!R163&lt;&gt;"",Data!L163="Accept&amp;#233;"),Data!G163,"")</f>
      </c>
      <c r="B333" s="62">
        <f>IF(AND(Data!R163&lt;&gt;"",Data!L163="Accept&amp;#233;"),Data!L163,"")</f>
      </c>
      <c r="C333" s="63">
        <f>IF(D333&lt;&gt;"","S"&amp;TEXT(WEEKNUM(D333),"00"),"")</f>
      </c>
      <c r="D333" s="42">
        <f>IF(AND(Data!Q163&lt;&gt;"",Data!L163="Accept&amp;#233;"),Data!Q163,"")</f>
        <v>25569.041666666668</v>
      </c>
      <c r="E333" s="64">
        <f>IF(AND(Data!R163&lt;&gt;"",Data!L163="Accept&amp;#233;"),Data!R163,"")</f>
      </c>
      <c r="F333" s="65">
        <f>IF(AND(Data!R163&lt;&gt;"",Data!L163="Accept&amp;#233;"),Data!S163,"")</f>
      </c>
      <c r="G333" s="66">
        <f>IF(Data!R163='Delivery Plan'!E333,Data!U163,"")</f>
      </c>
      <c r="H333" s="53"/>
      <c r="I333" s="63">
        <f>IF(J333&lt;&gt;"","S"&amp;TEXT(WEEKNUM(J333),"00"),"")</f>
      </c>
      <c r="J333" s="42">
        <f>IF(AND(E333=Data!R163,Data!AA163&lt;&gt;""),Data!AA163,"")</f>
        <v>25569.041666666668</v>
      </c>
      <c r="K333" s="67">
        <f>IF(AND(E333=Data!R163,Data!AE163&lt;&gt;""),Data!AE163,"")</f>
        <v>25569.041666666668</v>
      </c>
      <c r="L333" s="68">
        <f>IF(E333=Data!R175,Data!AI175,"")</f>
      </c>
      <c r="M333" s="68">
        <f>IF(E333=Data!R175,Data!AJ175,"")</f>
      </c>
      <c r="N333" s="69">
        <f>IF(AND(Data!R175&lt;&gt;"",Data!L175="Accept&amp;#233;"),Data!K175,"")</f>
      </c>
    </row>
    <row x14ac:dyDescent="0.25" r="334" customHeight="1" ht="19.5" hidden="1">
      <c r="A334" s="62">
        <f>IF(AND(Data!R164&lt;&gt;"",Data!L164="Accept&amp;#233;"),Data!G164,"")</f>
      </c>
      <c r="B334" s="62">
        <f>IF(AND(Data!R164&lt;&gt;"",Data!L164="Accept&amp;#233;"),Data!L164,"")</f>
      </c>
      <c r="C334" s="63">
        <f>IF(D334&lt;&gt;"","S"&amp;TEXT(WEEKNUM(D334),"00"),"")</f>
      </c>
      <c r="D334" s="42">
        <f>IF(AND(Data!Q164&lt;&gt;"",Data!L164="Accept&amp;#233;"),Data!Q164,"")</f>
        <v>25569.041666666668</v>
      </c>
      <c r="E334" s="64">
        <f>IF(AND(Data!R164&lt;&gt;"",Data!L164="Accept&amp;#233;"),Data!R164,"")</f>
      </c>
      <c r="F334" s="65">
        <f>IF(AND(Data!R164&lt;&gt;"",Data!L164="Accept&amp;#233;"),Data!S164,"")</f>
      </c>
      <c r="G334" s="66">
        <f>IF(Data!R164='Delivery Plan'!E334,Data!U164,"")</f>
      </c>
      <c r="H334" s="53"/>
      <c r="I334" s="63">
        <f>IF(J334&lt;&gt;"","S"&amp;TEXT(WEEKNUM(J334),"00"),"")</f>
      </c>
      <c r="J334" s="42">
        <f>IF(AND(E334=Data!R164,Data!AA164&lt;&gt;""),Data!AA164,"")</f>
        <v>25569.041666666668</v>
      </c>
      <c r="K334" s="67">
        <f>IF(AND(E334=Data!R164,Data!AE164&lt;&gt;""),Data!AE164,"")</f>
        <v>25569.041666666668</v>
      </c>
      <c r="L334" s="68">
        <f>IF(E334=Data!R176,Data!AI176,"")</f>
      </c>
      <c r="M334" s="68">
        <f>IF(E334=Data!R176,Data!AJ176,"")</f>
      </c>
      <c r="N334" s="69">
        <f>IF(AND(Data!R176&lt;&gt;"",Data!L176="Accept&amp;#233;"),Data!K176,"")</f>
      </c>
    </row>
    <row x14ac:dyDescent="0.25" r="335" customHeight="1" ht="19.5" hidden="1">
      <c r="A335" s="62">
        <f>IF(AND(Data!R165&lt;&gt;"",Data!L165="Accept&amp;#233;"),Data!G165,"")</f>
      </c>
      <c r="B335" s="62">
        <f>IF(AND(Data!R165&lt;&gt;"",Data!L165="Accept&amp;#233;"),Data!L165,"")</f>
      </c>
      <c r="C335" s="63">
        <f>IF(D335&lt;&gt;"","S"&amp;TEXT(WEEKNUM(D335),"00"),"")</f>
      </c>
      <c r="D335" s="42">
        <f>IF(AND(Data!Q165&lt;&gt;"",Data!L165="Accept&amp;#233;"),Data!Q165,"")</f>
        <v>25569.041666666668</v>
      </c>
      <c r="E335" s="64">
        <f>IF(AND(Data!R165&lt;&gt;"",Data!L165="Accept&amp;#233;"),Data!R165,"")</f>
      </c>
      <c r="F335" s="65">
        <f>IF(AND(Data!R165&lt;&gt;"",Data!L165="Accept&amp;#233;"),Data!S165,"")</f>
      </c>
      <c r="G335" s="66">
        <f>IF(Data!R165='Delivery Plan'!E335,Data!U165,"")</f>
      </c>
      <c r="H335" s="53"/>
      <c r="I335" s="63">
        <f>IF(J335&lt;&gt;"","S"&amp;TEXT(WEEKNUM(J335),"00"),"")</f>
      </c>
      <c r="J335" s="42">
        <f>IF(AND(E335=Data!R165,Data!AA165&lt;&gt;""),Data!AA165,"")</f>
        <v>25569.041666666668</v>
      </c>
      <c r="K335" s="67">
        <f>IF(AND(E335=Data!R165,Data!AE165&lt;&gt;""),Data!AE165,"")</f>
        <v>25569.041666666668</v>
      </c>
      <c r="L335" s="68">
        <f>IF(E335=Data!R177,Data!AI177,"")</f>
      </c>
      <c r="M335" s="68">
        <f>IF(E335=Data!R177,Data!AJ177,"")</f>
      </c>
      <c r="N335" s="69">
        <f>IF(AND(Data!R177&lt;&gt;"",Data!L177="Accept&amp;#233;"),Data!K177,"")</f>
      </c>
    </row>
    <row x14ac:dyDescent="0.25" r="336" customHeight="1" ht="19.5" hidden="1">
      <c r="A336" s="62">
        <f>IF(AND(Data!R166&lt;&gt;"",Data!L166="Accept&amp;#233;"),Data!G166,"")</f>
      </c>
      <c r="B336" s="62">
        <f>IF(AND(Data!R166&lt;&gt;"",Data!L166="Accept&amp;#233;"),Data!L166,"")</f>
      </c>
      <c r="C336" s="63">
        <f>IF(D336&lt;&gt;"","S"&amp;TEXT(WEEKNUM(D336),"00"),"")</f>
      </c>
      <c r="D336" s="42">
        <f>IF(AND(Data!Q166&lt;&gt;"",Data!L166="Accept&amp;#233;"),Data!Q166,"")</f>
        <v>25569.041666666668</v>
      </c>
      <c r="E336" s="64">
        <f>IF(AND(Data!R166&lt;&gt;"",Data!L166="Accept&amp;#233;"),Data!R166,"")</f>
      </c>
      <c r="F336" s="65">
        <f>IF(AND(Data!R166&lt;&gt;"",Data!L166="Accept&amp;#233;"),Data!S166,"")</f>
      </c>
      <c r="G336" s="66">
        <f>IF(Data!R166='Delivery Plan'!E336,Data!U166,"")</f>
      </c>
      <c r="H336" s="53"/>
      <c r="I336" s="63">
        <f>IF(J336&lt;&gt;"","S"&amp;TEXT(WEEKNUM(J336),"00"),"")</f>
      </c>
      <c r="J336" s="42">
        <f>IF(AND(E336=Data!R166,Data!AA166&lt;&gt;""),Data!AA166,"")</f>
        <v>25569.041666666668</v>
      </c>
      <c r="K336" s="67">
        <f>IF(AND(E336=Data!R166,Data!AE166&lt;&gt;""),Data!AE166,"")</f>
        <v>25569.041666666668</v>
      </c>
      <c r="L336" s="68">
        <f>IF(E336=Data!R178,Data!AI178,"")</f>
      </c>
      <c r="M336" s="68">
        <f>IF(E336=Data!R178,Data!AJ178,"")</f>
      </c>
      <c r="N336" s="69">
        <f>IF(AND(Data!R178&lt;&gt;"",Data!L178="Accept&amp;#233;"),Data!K178,"")</f>
      </c>
    </row>
    <row x14ac:dyDescent="0.25" r="337" customHeight="1" ht="19.5" hidden="1">
      <c r="A337" s="62">
        <f>IF(AND(Data!R167&lt;&gt;"",Data!L167="Accept&amp;#233;"),Data!G167,"")</f>
      </c>
      <c r="B337" s="62">
        <f>IF(AND(Data!R167&lt;&gt;"",Data!L167="Accept&amp;#233;"),Data!L167,"")</f>
      </c>
      <c r="C337" s="63">
        <f>IF(D337&lt;&gt;"","S"&amp;TEXT(WEEKNUM(D337),"00"),"")</f>
      </c>
      <c r="D337" s="42">
        <f>IF(AND(Data!Q167&lt;&gt;"",Data!L167="Accept&amp;#233;"),Data!Q167,"")</f>
        <v>25569.041666666668</v>
      </c>
      <c r="E337" s="64">
        <f>IF(AND(Data!R167&lt;&gt;"",Data!L167="Accept&amp;#233;"),Data!R167,"")</f>
      </c>
      <c r="F337" s="65">
        <f>IF(AND(Data!R167&lt;&gt;"",Data!L167="Accept&amp;#233;"),Data!S167,"")</f>
      </c>
      <c r="G337" s="66">
        <f>IF(Data!R167='Delivery Plan'!E337,Data!U167,"")</f>
      </c>
      <c r="H337" s="53"/>
      <c r="I337" s="63">
        <f>IF(J337&lt;&gt;"","S"&amp;TEXT(WEEKNUM(J337),"00"),"")</f>
      </c>
      <c r="J337" s="42">
        <f>IF(AND(E337=Data!R167,Data!AA167&lt;&gt;""),Data!AA167,"")</f>
        <v>25569.041666666668</v>
      </c>
      <c r="K337" s="67">
        <f>IF(AND(E337=Data!R167,Data!AE167&lt;&gt;""),Data!AE167,"")</f>
        <v>25569.041666666668</v>
      </c>
      <c r="L337" s="68">
        <f>IF(E337=Data!R179,Data!AI179,"")</f>
      </c>
      <c r="M337" s="68">
        <f>IF(E337=Data!R179,Data!AJ179,"")</f>
      </c>
      <c r="N337" s="69">
        <f>IF(AND(Data!R179&lt;&gt;"",Data!L179="Accept&amp;#233;"),Data!K179,"")</f>
      </c>
    </row>
    <row x14ac:dyDescent="0.25" r="338" customHeight="1" ht="19.5" hidden="1">
      <c r="A338" s="62">
        <f>IF(AND(Data!R168&lt;&gt;"",Data!L168="Accept&amp;#233;"),Data!G168,"")</f>
      </c>
      <c r="B338" s="62">
        <f>IF(AND(Data!R168&lt;&gt;"",Data!L168="Accept&amp;#233;"),Data!L168,"")</f>
      </c>
      <c r="C338" s="63">
        <f>IF(D338&lt;&gt;"","S"&amp;TEXT(WEEKNUM(D338),"00"),"")</f>
      </c>
      <c r="D338" s="42">
        <f>IF(AND(Data!Q168&lt;&gt;"",Data!L168="Accept&amp;#233;"),Data!Q168,"")</f>
        <v>25569.041666666668</v>
      </c>
      <c r="E338" s="64">
        <f>IF(AND(Data!R168&lt;&gt;"",Data!L168="Accept&amp;#233;"),Data!R168,"")</f>
      </c>
      <c r="F338" s="65">
        <f>IF(AND(Data!R168&lt;&gt;"",Data!L168="Accept&amp;#233;"),Data!S168,"")</f>
      </c>
      <c r="G338" s="66">
        <f>IF(Data!R168='Delivery Plan'!E338,Data!U168,"")</f>
      </c>
      <c r="H338" s="53"/>
      <c r="I338" s="63">
        <f>IF(J338&lt;&gt;"","S"&amp;TEXT(WEEKNUM(J338),"00"),"")</f>
      </c>
      <c r="J338" s="42">
        <f>IF(AND(E338=Data!R168,Data!AA168&lt;&gt;""),Data!AA168,"")</f>
        <v>25569.041666666668</v>
      </c>
      <c r="K338" s="67">
        <f>IF(AND(E338=Data!R168,Data!AE168&lt;&gt;""),Data!AE168,"")</f>
        <v>25569.041666666668</v>
      </c>
      <c r="L338" s="68">
        <f>IF(E338=Data!R180,Data!AI180,"")</f>
      </c>
      <c r="M338" s="68">
        <f>IF(E338=Data!R180,Data!AJ180,"")</f>
      </c>
      <c r="N338" s="69">
        <f>IF(AND(Data!R180&lt;&gt;"",Data!L180="Accept&amp;#233;"),Data!K180,"")</f>
      </c>
    </row>
    <row x14ac:dyDescent="0.25" r="339" customHeight="1" ht="19.5" hidden="1">
      <c r="A339" s="62">
        <f>IF(AND(Data!R169&lt;&gt;"",Data!L169="Accept&amp;#233;"),Data!G169,"")</f>
      </c>
      <c r="B339" s="62">
        <f>IF(AND(Data!R169&lt;&gt;"",Data!L169="Accept&amp;#233;"),Data!L169,"")</f>
      </c>
      <c r="C339" s="63">
        <f>IF(D339&lt;&gt;"","S"&amp;TEXT(WEEKNUM(D339),"00"),"")</f>
      </c>
      <c r="D339" s="42">
        <f>IF(AND(Data!Q169&lt;&gt;"",Data!L169="Accept&amp;#233;"),Data!Q169,"")</f>
        <v>25569.041666666668</v>
      </c>
      <c r="E339" s="64">
        <f>IF(AND(Data!R169&lt;&gt;"",Data!L169="Accept&amp;#233;"),Data!R169,"")</f>
      </c>
      <c r="F339" s="65">
        <f>IF(AND(Data!R169&lt;&gt;"",Data!L169="Accept&amp;#233;"),Data!S169,"")</f>
      </c>
      <c r="G339" s="66">
        <f>IF(Data!R169='Delivery Plan'!E339,Data!U169,"")</f>
      </c>
      <c r="H339" s="53"/>
      <c r="I339" s="63">
        <f>IF(J339&lt;&gt;"","S"&amp;TEXT(WEEKNUM(J339),"00"),"")</f>
      </c>
      <c r="J339" s="42">
        <f>IF(AND(E339=Data!R169,Data!AA169&lt;&gt;""),Data!AA169,"")</f>
        <v>25569.041666666668</v>
      </c>
      <c r="K339" s="67">
        <f>IF(AND(E339=Data!R169,Data!AE169&lt;&gt;""),Data!AE169,"")</f>
        <v>25569.041666666668</v>
      </c>
      <c r="L339" s="68">
        <f>IF(E339=Data!R181,Data!AI181,"")</f>
      </c>
      <c r="M339" s="68">
        <f>IF(E339=Data!R181,Data!AJ181,"")</f>
      </c>
      <c r="N339" s="69">
        <f>IF(AND(Data!R181&lt;&gt;"",Data!L181="Accept&amp;#233;"),Data!K181,"")</f>
      </c>
    </row>
    <row x14ac:dyDescent="0.25" r="340" customHeight="1" ht="19.5" hidden="1">
      <c r="A340" s="62">
        <f>IF(AND(Data!R170&lt;&gt;"",Data!L170="Accept&amp;#233;"),Data!G170,"")</f>
      </c>
      <c r="B340" s="62">
        <f>IF(AND(Data!R170&lt;&gt;"",Data!L170="Accept&amp;#233;"),Data!L170,"")</f>
      </c>
      <c r="C340" s="63">
        <f>IF(D340&lt;&gt;"","S"&amp;TEXT(WEEKNUM(D340),"00"),"")</f>
      </c>
      <c r="D340" s="42">
        <f>IF(AND(Data!Q170&lt;&gt;"",Data!L170="Accept&amp;#233;"),Data!Q170,"")</f>
        <v>25569.041666666668</v>
      </c>
      <c r="E340" s="64">
        <f>IF(AND(Data!R170&lt;&gt;"",Data!L170="Accept&amp;#233;"),Data!R170,"")</f>
      </c>
      <c r="F340" s="65">
        <f>IF(AND(Data!R170&lt;&gt;"",Data!L170="Accept&amp;#233;"),Data!S170,"")</f>
      </c>
      <c r="G340" s="66">
        <f>IF(Data!R170='Delivery Plan'!E340,Data!U170,"")</f>
      </c>
      <c r="H340" s="53"/>
      <c r="I340" s="63">
        <f>IF(J340&lt;&gt;"","S"&amp;TEXT(WEEKNUM(J340),"00"),"")</f>
      </c>
      <c r="J340" s="42">
        <f>IF(AND(E340=Data!R170,Data!AA170&lt;&gt;""),Data!AA170,"")</f>
        <v>25569.041666666668</v>
      </c>
      <c r="K340" s="67">
        <f>IF(AND(E340=Data!R170,Data!AE170&lt;&gt;""),Data!AE170,"")</f>
        <v>25569.041666666668</v>
      </c>
      <c r="L340" s="68">
        <f>IF(E340=Data!R182,Data!AI182,"")</f>
      </c>
      <c r="M340" s="68">
        <f>IF(E340=Data!R182,Data!AJ182,"")</f>
      </c>
      <c r="N340" s="69">
        <f>IF(AND(Data!R182&lt;&gt;"",Data!L182="Accept&amp;#233;"),Data!K182,"")</f>
      </c>
    </row>
    <row x14ac:dyDescent="0.25" r="341" customHeight="1" ht="19.5" hidden="1">
      <c r="A341" s="62">
        <f>IF(AND(Data!R171&lt;&gt;"",Data!L171="Accept&amp;#233;"),Data!G171,"")</f>
      </c>
      <c r="B341" s="62">
        <f>IF(AND(Data!R171&lt;&gt;"",Data!L171="Accept&amp;#233;"),Data!L171,"")</f>
      </c>
      <c r="C341" s="63">
        <f>IF(D341&lt;&gt;"","S"&amp;TEXT(WEEKNUM(D341),"00"),"")</f>
      </c>
      <c r="D341" s="42">
        <f>IF(AND(Data!Q171&lt;&gt;"",Data!L171="Accept&amp;#233;"),Data!Q171,"")</f>
        <v>25569.041666666668</v>
      </c>
      <c r="E341" s="64">
        <f>IF(AND(Data!R171&lt;&gt;"",Data!L171="Accept&amp;#233;"),Data!R171,"")</f>
      </c>
      <c r="F341" s="65">
        <f>IF(AND(Data!R171&lt;&gt;"",Data!L171="Accept&amp;#233;"),Data!S171,"")</f>
      </c>
      <c r="G341" s="66">
        <f>IF(Data!R171='Delivery Plan'!E341,Data!U171,"")</f>
      </c>
      <c r="H341" s="53"/>
      <c r="I341" s="63">
        <f>IF(J341&lt;&gt;"","S"&amp;TEXT(WEEKNUM(J341),"00"),"")</f>
      </c>
      <c r="J341" s="42">
        <f>IF(AND(E341=Data!R171,Data!AA171&lt;&gt;""),Data!AA171,"")</f>
        <v>25569.041666666668</v>
      </c>
      <c r="K341" s="67">
        <f>IF(AND(E341=Data!R171,Data!AE171&lt;&gt;""),Data!AE171,"")</f>
        <v>25569.041666666668</v>
      </c>
      <c r="L341" s="68">
        <f>IF(E341=Data!R183,Data!AI183,"")</f>
      </c>
      <c r="M341" s="68">
        <f>IF(E341=Data!R183,Data!AJ183,"")</f>
      </c>
      <c r="N341" s="69">
        <f>IF(AND(Data!R183&lt;&gt;"",Data!L183="Accept&amp;#233;"),Data!K183,"")</f>
      </c>
    </row>
    <row x14ac:dyDescent="0.25" r="342" customHeight="1" ht="19.5" hidden="1">
      <c r="A342" s="62">
        <f>IF(AND(Data!R172&lt;&gt;"",Data!L172="Accept&amp;#233;"),Data!G172,"")</f>
      </c>
      <c r="B342" s="62">
        <f>IF(AND(Data!R172&lt;&gt;"",Data!L172="Accept&amp;#233;"),Data!L172,"")</f>
      </c>
      <c r="C342" s="63">
        <f>IF(D342&lt;&gt;"","S"&amp;TEXT(WEEKNUM(D342),"00"),"")</f>
      </c>
      <c r="D342" s="42">
        <f>IF(AND(Data!Q172&lt;&gt;"",Data!L172="Accept&amp;#233;"),Data!Q172,"")</f>
        <v>25569.041666666668</v>
      </c>
      <c r="E342" s="64">
        <f>IF(AND(Data!R172&lt;&gt;"",Data!L172="Accept&amp;#233;"),Data!R172,"")</f>
      </c>
      <c r="F342" s="65">
        <f>IF(AND(Data!R172&lt;&gt;"",Data!L172="Accept&amp;#233;"),Data!S172,"")</f>
      </c>
      <c r="G342" s="66">
        <f>IF(Data!R172='Delivery Plan'!E342,Data!U172,"")</f>
      </c>
      <c r="H342" s="53"/>
      <c r="I342" s="63">
        <f>IF(J342&lt;&gt;"","S"&amp;TEXT(WEEKNUM(J342),"00"),"")</f>
      </c>
      <c r="J342" s="42">
        <f>IF(AND(E342=Data!R172,Data!AA172&lt;&gt;""),Data!AA172,"")</f>
        <v>25569.041666666668</v>
      </c>
      <c r="K342" s="67">
        <f>IF(AND(E342=Data!R172,Data!AE172&lt;&gt;""),Data!AE172,"")</f>
        <v>25569.041666666668</v>
      </c>
      <c r="L342" s="68">
        <f>IF(E342=Data!R184,Data!AI184,"")</f>
      </c>
      <c r="M342" s="68">
        <f>IF(E342=Data!R184,Data!AJ184,"")</f>
      </c>
      <c r="N342" s="69">
        <f>IF(AND(Data!R184&lt;&gt;"",Data!L184="Accept&amp;#233;"),Data!K184,"")</f>
      </c>
    </row>
    <row x14ac:dyDescent="0.25" r="343" customHeight="1" ht="19.5" hidden="1">
      <c r="A343" s="62">
        <f>IF(AND(Data!R173&lt;&gt;"",Data!L173="Accept&amp;#233;"),Data!G173,"")</f>
      </c>
      <c r="B343" s="62">
        <f>IF(AND(Data!R173&lt;&gt;"",Data!L173="Accept&amp;#233;"),Data!L173,"")</f>
      </c>
      <c r="C343" s="63">
        <f>IF(D343&lt;&gt;"","S"&amp;TEXT(WEEKNUM(D343),"00"),"")</f>
      </c>
      <c r="D343" s="42">
        <f>IF(AND(Data!Q173&lt;&gt;"",Data!L173="Accept&amp;#233;"),Data!Q173,"")</f>
        <v>25569.041666666668</v>
      </c>
      <c r="E343" s="64">
        <f>IF(AND(Data!R173&lt;&gt;"",Data!L173="Accept&amp;#233;"),Data!R173,"")</f>
      </c>
      <c r="F343" s="65">
        <f>IF(AND(Data!R173&lt;&gt;"",Data!L173="Accept&amp;#233;"),Data!S173,"")</f>
      </c>
      <c r="G343" s="66">
        <f>IF(Data!R173='Delivery Plan'!E343,Data!U173,"")</f>
      </c>
      <c r="H343" s="53"/>
      <c r="I343" s="63">
        <f>IF(J343&lt;&gt;"","S"&amp;TEXT(WEEKNUM(J343),"00"),"")</f>
      </c>
      <c r="J343" s="42">
        <f>IF(AND(E343=Data!R173,Data!AA173&lt;&gt;""),Data!AA173,"")</f>
        <v>25569.041666666668</v>
      </c>
      <c r="K343" s="67">
        <f>IF(AND(E343=Data!R173,Data!AE173&lt;&gt;""),Data!AE173,"")</f>
        <v>25569.041666666668</v>
      </c>
      <c r="L343" s="68">
        <f>IF(E343=Data!R185,Data!AI185,"")</f>
      </c>
      <c r="M343" s="68">
        <f>IF(E343=Data!R185,Data!AJ185,"")</f>
      </c>
      <c r="N343" s="69">
        <f>IF(AND(Data!R185&lt;&gt;"",Data!L185="Accept&amp;#233;"),Data!K185,"")</f>
      </c>
    </row>
    <row x14ac:dyDescent="0.25" r="344" customHeight="1" ht="19.5" hidden="1">
      <c r="A344" s="62">
        <f>IF(AND(Data!R174&lt;&gt;"",Data!L174="Accept&amp;#233;"),Data!G174,"")</f>
      </c>
      <c r="B344" s="62">
        <f>IF(AND(Data!R174&lt;&gt;"",Data!L174="Accept&amp;#233;"),Data!L174,"")</f>
      </c>
      <c r="C344" s="63">
        <f>IF(D344&lt;&gt;"","S"&amp;TEXT(WEEKNUM(D344),"00"),"")</f>
      </c>
      <c r="D344" s="42">
        <f>IF(AND(Data!Q174&lt;&gt;"",Data!L174="Accept&amp;#233;"),Data!Q174,"")</f>
        <v>25569.041666666668</v>
      </c>
      <c r="E344" s="64">
        <f>IF(AND(Data!R174&lt;&gt;"",Data!L174="Accept&amp;#233;"),Data!R174,"")</f>
      </c>
      <c r="F344" s="65">
        <f>IF(AND(Data!R174&lt;&gt;"",Data!L174="Accept&amp;#233;"),Data!S174,"")</f>
      </c>
      <c r="G344" s="66">
        <f>IF(Data!R174='Delivery Plan'!E344,Data!U174,"")</f>
      </c>
      <c r="H344" s="53"/>
      <c r="I344" s="63">
        <f>IF(J344&lt;&gt;"","S"&amp;TEXT(WEEKNUM(J344),"00"),"")</f>
      </c>
      <c r="J344" s="42">
        <f>IF(AND(E344=Data!R174,Data!AA174&lt;&gt;""),Data!AA174,"")</f>
        <v>25569.041666666668</v>
      </c>
      <c r="K344" s="67">
        <f>IF(AND(E344=Data!R174,Data!AE174&lt;&gt;""),Data!AE174,"")</f>
        <v>25569.041666666668</v>
      </c>
      <c r="L344" s="68">
        <f>IF(E344=Data!R186,Data!AI186,"")</f>
      </c>
      <c r="M344" s="68">
        <f>IF(E344=Data!R186,Data!AJ186,"")</f>
      </c>
      <c r="N344" s="69">
        <f>IF(AND(Data!R186&lt;&gt;"",Data!L186="Accept&amp;#233;"),Data!K186,"")</f>
      </c>
    </row>
    <row x14ac:dyDescent="0.25" r="345" customHeight="1" ht="19.5" hidden="1">
      <c r="A345" s="62">
        <f>IF(AND(Data!R175&lt;&gt;"",Data!L175="Accept&amp;#233;"),Data!G175,"")</f>
      </c>
      <c r="B345" s="62">
        <f>IF(AND(Data!R175&lt;&gt;"",Data!L175="Accept&amp;#233;"),Data!L175,"")</f>
      </c>
      <c r="C345" s="63">
        <f>IF(D345&lt;&gt;"","S"&amp;TEXT(WEEKNUM(D345),"00"),"")</f>
      </c>
      <c r="D345" s="42">
        <f>IF(AND(Data!Q175&lt;&gt;"",Data!L175="Accept&amp;#233;"),Data!Q175,"")</f>
        <v>25569.041666666668</v>
      </c>
      <c r="E345" s="64">
        <f>IF(AND(Data!R175&lt;&gt;"",Data!L175="Accept&amp;#233;"),Data!R175,"")</f>
      </c>
      <c r="F345" s="65">
        <f>IF(AND(Data!R175&lt;&gt;"",Data!L175="Accept&amp;#233;"),Data!S175,"")</f>
      </c>
      <c r="G345" s="66">
        <f>IF(Data!R175='Delivery Plan'!E345,Data!U175,"")</f>
      </c>
      <c r="H345" s="53"/>
      <c r="I345" s="63">
        <f>IF(J345&lt;&gt;"","S"&amp;TEXT(WEEKNUM(J345),"00"),"")</f>
      </c>
      <c r="J345" s="42">
        <f>IF(AND(E345=Data!R175,Data!AA175&lt;&gt;""),Data!AA175,"")</f>
        <v>25569.041666666668</v>
      </c>
      <c r="K345" s="67">
        <f>IF(AND(E345=Data!R175,Data!AE175&lt;&gt;""),Data!AE175,"")</f>
        <v>25569.041666666668</v>
      </c>
      <c r="L345" s="68">
        <f>IF(E345=Data!R187,Data!AI187,"")</f>
      </c>
      <c r="M345" s="68">
        <f>IF(E345=Data!R187,Data!AJ187,"")</f>
      </c>
      <c r="N345" s="69">
        <f>IF(AND(Data!R187&lt;&gt;"",Data!L187="Accept&amp;#233;"),Data!K187,"")</f>
      </c>
    </row>
    <row x14ac:dyDescent="0.25" r="346" customHeight="1" ht="19.5" hidden="1">
      <c r="A346" s="62">
        <f>IF(AND(Data!R176&lt;&gt;"",Data!L176="Accept&amp;#233;"),Data!G176,"")</f>
      </c>
      <c r="B346" s="62">
        <f>IF(AND(Data!R176&lt;&gt;"",Data!L176="Accept&amp;#233;"),Data!L176,"")</f>
      </c>
      <c r="C346" s="63">
        <f>IF(D346&lt;&gt;"","S"&amp;TEXT(WEEKNUM(D346),"00"),"")</f>
      </c>
      <c r="D346" s="42">
        <f>IF(AND(Data!Q176&lt;&gt;"",Data!L176="Accept&amp;#233;"),Data!Q176,"")</f>
        <v>25569.041666666668</v>
      </c>
      <c r="E346" s="64">
        <f>IF(AND(Data!R176&lt;&gt;"",Data!L176="Accept&amp;#233;"),Data!R176,"")</f>
      </c>
      <c r="F346" s="65">
        <f>IF(AND(Data!R176&lt;&gt;"",Data!L176="Accept&amp;#233;"),Data!S176,"")</f>
      </c>
      <c r="G346" s="66">
        <f>IF(Data!R176='Delivery Plan'!E346,Data!U176,"")</f>
      </c>
      <c r="H346" s="53"/>
      <c r="I346" s="63">
        <f>IF(J346&lt;&gt;"","S"&amp;TEXT(WEEKNUM(J346),"00"),"")</f>
      </c>
      <c r="J346" s="42">
        <f>IF(AND(E346=Data!R176,Data!AA176&lt;&gt;""),Data!AA176,"")</f>
        <v>25569.041666666668</v>
      </c>
      <c r="K346" s="67">
        <f>IF(AND(E346=Data!R176,Data!AE176&lt;&gt;""),Data!AE176,"")</f>
        <v>25569.041666666668</v>
      </c>
      <c r="L346" s="68">
        <f>IF(E346=Data!R188,Data!AI188,"")</f>
      </c>
      <c r="M346" s="68">
        <f>IF(E346=Data!R188,Data!AJ188,"")</f>
      </c>
      <c r="N346" s="69">
        <f>IF(AND(Data!R188&lt;&gt;"",Data!L188="Accept&amp;#233;"),Data!K188,"")</f>
      </c>
    </row>
    <row x14ac:dyDescent="0.25" r="347" customHeight="1" ht="19.5" hidden="1">
      <c r="A347" s="62">
        <f>IF(AND(Data!R177&lt;&gt;"",Data!L177="Accept&amp;#233;"),Data!G177,"")</f>
      </c>
      <c r="B347" s="62">
        <f>IF(AND(Data!R177&lt;&gt;"",Data!L177="Accept&amp;#233;"),Data!L177,"")</f>
      </c>
      <c r="C347" s="63">
        <f>IF(D347&lt;&gt;"","S"&amp;TEXT(WEEKNUM(D347),"00"),"")</f>
      </c>
      <c r="D347" s="42">
        <f>IF(AND(Data!Q177&lt;&gt;"",Data!L177="Accept&amp;#233;"),Data!Q177,"")</f>
        <v>25569.041666666668</v>
      </c>
      <c r="E347" s="64">
        <f>IF(AND(Data!R177&lt;&gt;"",Data!L177="Accept&amp;#233;"),Data!R177,"")</f>
      </c>
      <c r="F347" s="65">
        <f>IF(AND(Data!R177&lt;&gt;"",Data!L177="Accept&amp;#233;"),Data!S177,"")</f>
      </c>
      <c r="G347" s="66">
        <f>IF(Data!R177='Delivery Plan'!E347,Data!U177,"")</f>
      </c>
      <c r="H347" s="53"/>
      <c r="I347" s="63">
        <f>IF(J347&lt;&gt;"","S"&amp;TEXT(WEEKNUM(J347),"00"),"")</f>
      </c>
      <c r="J347" s="42">
        <f>IF(AND(E347=Data!R177,Data!AA177&lt;&gt;""),Data!AA177,"")</f>
        <v>25569.041666666668</v>
      </c>
      <c r="K347" s="67">
        <f>IF(AND(E347=Data!R177,Data!AE177&lt;&gt;""),Data!AE177,"")</f>
        <v>25569.041666666668</v>
      </c>
      <c r="L347" s="68">
        <f>IF(E347=Data!R189,Data!AI189,"")</f>
      </c>
      <c r="M347" s="68">
        <f>IF(E347=Data!R189,Data!AJ189,"")</f>
      </c>
      <c r="N347" s="69">
        <f>IF(AND(Data!R189&lt;&gt;"",Data!L189="Accept&amp;#233;"),Data!K189,"")</f>
      </c>
    </row>
    <row x14ac:dyDescent="0.25" r="348" customHeight="1" ht="19.5" hidden="1">
      <c r="A348" s="62">
        <f>IF(AND(Data!R178&lt;&gt;"",Data!L178="Accept&amp;#233;"),Data!G178,"")</f>
      </c>
      <c r="B348" s="62">
        <f>IF(AND(Data!R178&lt;&gt;"",Data!L178="Accept&amp;#233;"),Data!L178,"")</f>
      </c>
      <c r="C348" s="63">
        <f>IF(D348&lt;&gt;"","S"&amp;TEXT(WEEKNUM(D348),"00"),"")</f>
      </c>
      <c r="D348" s="42">
        <f>IF(AND(Data!Q178&lt;&gt;"",Data!L178="Accept&amp;#233;"),Data!Q178,"")</f>
        <v>25569.041666666668</v>
      </c>
      <c r="E348" s="64">
        <f>IF(AND(Data!R178&lt;&gt;"",Data!L178="Accept&amp;#233;"),Data!R178,"")</f>
      </c>
      <c r="F348" s="65">
        <f>IF(AND(Data!R178&lt;&gt;"",Data!L178="Accept&amp;#233;"),Data!S178,"")</f>
      </c>
      <c r="G348" s="66">
        <f>IF(Data!R178='Delivery Plan'!E348,Data!U178,"")</f>
      </c>
      <c r="H348" s="53"/>
      <c r="I348" s="63">
        <f>IF(J348&lt;&gt;"","S"&amp;TEXT(WEEKNUM(J348),"00"),"")</f>
      </c>
      <c r="J348" s="42">
        <f>IF(AND(E348=Data!R178,Data!AA178&lt;&gt;""),Data!AA178,"")</f>
        <v>25569.041666666668</v>
      </c>
      <c r="K348" s="67">
        <f>IF(AND(E348=Data!R178,Data!AE178&lt;&gt;""),Data!AE178,"")</f>
        <v>25569.041666666668</v>
      </c>
      <c r="L348" s="68">
        <f>IF(E348=Data!R190,Data!AI190,"")</f>
      </c>
      <c r="M348" s="68">
        <f>IF(E348=Data!R190,Data!AJ190,"")</f>
      </c>
      <c r="N348" s="69">
        <f>IF(AND(Data!R190&lt;&gt;"",Data!L190="Accept&amp;#233;"),Data!K190,"")</f>
      </c>
    </row>
    <row x14ac:dyDescent="0.25" r="349" customHeight="1" ht="19.5" hidden="1">
      <c r="A349" s="62">
        <f>IF(AND(Data!R179&lt;&gt;"",Data!L179="Accept&amp;#233;"),Data!G179,"")</f>
      </c>
      <c r="B349" s="62">
        <f>IF(AND(Data!R179&lt;&gt;"",Data!L179="Accept&amp;#233;"),Data!L179,"")</f>
      </c>
      <c r="C349" s="63">
        <f>IF(D349&lt;&gt;"","S"&amp;TEXT(WEEKNUM(D349),"00"),"")</f>
      </c>
      <c r="D349" s="42">
        <f>IF(AND(Data!Q179&lt;&gt;"",Data!L179="Accept&amp;#233;"),Data!Q179,"")</f>
        <v>25569.041666666668</v>
      </c>
      <c r="E349" s="64">
        <f>IF(AND(Data!R179&lt;&gt;"",Data!L179="Accept&amp;#233;"),Data!R179,"")</f>
      </c>
      <c r="F349" s="65">
        <f>IF(AND(Data!R179&lt;&gt;"",Data!L179="Accept&amp;#233;"),Data!S179,"")</f>
      </c>
      <c r="G349" s="66">
        <f>IF(Data!R179='Delivery Plan'!E349,Data!U179,"")</f>
      </c>
      <c r="H349" s="53"/>
      <c r="I349" s="63">
        <f>IF(J349&lt;&gt;"","S"&amp;TEXT(WEEKNUM(J349),"00"),"")</f>
      </c>
      <c r="J349" s="42">
        <f>IF(AND(E349=Data!R179,Data!AA179&lt;&gt;""),Data!AA179,"")</f>
        <v>25569.041666666668</v>
      </c>
      <c r="K349" s="67">
        <f>IF(AND(E349=Data!R179,Data!AE179&lt;&gt;""),Data!AE179,"")</f>
        <v>25569.041666666668</v>
      </c>
      <c r="L349" s="68">
        <f>IF(E349=Data!R191,Data!AI191,"")</f>
      </c>
      <c r="M349" s="68">
        <f>IF(E349=Data!R191,Data!AJ191,"")</f>
      </c>
      <c r="N349" s="69">
        <f>IF(AND(Data!R191&lt;&gt;"",Data!L191="Accept&amp;#233;"),Data!K191,"")</f>
      </c>
    </row>
    <row x14ac:dyDescent="0.25" r="350" customHeight="1" ht="19.5" hidden="1">
      <c r="A350" s="62">
        <f>IF(AND(Data!R180&lt;&gt;"",Data!L180="Accept&amp;#233;"),Data!G180,"")</f>
      </c>
      <c r="B350" s="62">
        <f>IF(AND(Data!R180&lt;&gt;"",Data!L180="Accept&amp;#233;"),Data!L180,"")</f>
      </c>
      <c r="C350" s="63">
        <f>IF(D350&lt;&gt;"","S"&amp;TEXT(WEEKNUM(D350),"00"),"")</f>
      </c>
      <c r="D350" s="42">
        <f>IF(AND(Data!Q180&lt;&gt;"",Data!L180="Accept&amp;#233;"),Data!Q180,"")</f>
        <v>25569.041666666668</v>
      </c>
      <c r="E350" s="64">
        <f>IF(AND(Data!R180&lt;&gt;"",Data!L180="Accept&amp;#233;"),Data!R180,"")</f>
      </c>
      <c r="F350" s="65">
        <f>IF(AND(Data!R180&lt;&gt;"",Data!L180="Accept&amp;#233;"),Data!S180,"")</f>
      </c>
      <c r="G350" s="66">
        <f>IF(Data!R180='Delivery Plan'!E350,Data!U180,"")</f>
      </c>
      <c r="H350" s="53"/>
      <c r="I350" s="63">
        <f>IF(J350&lt;&gt;"","S"&amp;TEXT(WEEKNUM(J350),"00"),"")</f>
      </c>
      <c r="J350" s="42">
        <f>IF(AND(E350=Data!R180,Data!AA180&lt;&gt;""),Data!AA180,"")</f>
        <v>25569.041666666668</v>
      </c>
      <c r="K350" s="67">
        <f>IF(AND(E350=Data!R180,Data!AE180&lt;&gt;""),Data!AE180,"")</f>
        <v>25569.041666666668</v>
      </c>
      <c r="L350" s="68">
        <f>IF(E350=Data!R192,Data!AI192,"")</f>
      </c>
      <c r="M350" s="68">
        <f>IF(E350=Data!R192,Data!AJ192,"")</f>
      </c>
      <c r="N350" s="69">
        <f>IF(AND(Data!R192&lt;&gt;"",Data!L192="Accept&amp;#233;"),Data!K192,"")</f>
      </c>
    </row>
    <row x14ac:dyDescent="0.25" r="351" customHeight="1" ht="19.5" hidden="1">
      <c r="A351" s="62">
        <f>IF(AND(Data!R181&lt;&gt;"",Data!L181="Accept&amp;#233;"),Data!G181,"")</f>
      </c>
      <c r="B351" s="62">
        <f>IF(AND(Data!R181&lt;&gt;"",Data!L181="Accept&amp;#233;"),Data!L181,"")</f>
      </c>
      <c r="C351" s="63">
        <f>IF(D351&lt;&gt;"","S"&amp;TEXT(WEEKNUM(D351),"00"),"")</f>
      </c>
      <c r="D351" s="42">
        <f>IF(AND(Data!Q181&lt;&gt;"",Data!L181="Accept&amp;#233;"),Data!Q181,"")</f>
        <v>25569.041666666668</v>
      </c>
      <c r="E351" s="64">
        <f>IF(AND(Data!R181&lt;&gt;"",Data!L181="Accept&amp;#233;"),Data!R181,"")</f>
      </c>
      <c r="F351" s="65">
        <f>IF(AND(Data!R181&lt;&gt;"",Data!L181="Accept&amp;#233;"),Data!S181,"")</f>
      </c>
      <c r="G351" s="66">
        <f>IF(Data!R181='Delivery Plan'!E351,Data!U181,"")</f>
      </c>
      <c r="H351" s="53"/>
      <c r="I351" s="63">
        <f>IF(J351&lt;&gt;"","S"&amp;TEXT(WEEKNUM(J351),"00"),"")</f>
      </c>
      <c r="J351" s="42">
        <f>IF(AND(E351=Data!R181,Data!AA181&lt;&gt;""),Data!AA181,"")</f>
        <v>25569.041666666668</v>
      </c>
      <c r="K351" s="67">
        <f>IF(AND(E351=Data!R181,Data!AE181&lt;&gt;""),Data!AE181,"")</f>
        <v>25569.041666666668</v>
      </c>
      <c r="L351" s="68">
        <f>IF(E351=Data!R193,Data!AI193,"")</f>
      </c>
      <c r="M351" s="68">
        <f>IF(E351=Data!R193,Data!AJ193,"")</f>
      </c>
      <c r="N351" s="69">
        <f>IF(AND(Data!R193&lt;&gt;"",Data!L193="Accept&amp;#233;"),Data!K193,"")</f>
      </c>
    </row>
    <row x14ac:dyDescent="0.25" r="352" customHeight="1" ht="19.5" hidden="1">
      <c r="A352" s="62">
        <f>IF(AND(Data!R182&lt;&gt;"",Data!L182="Accept&amp;#233;"),Data!G182,"")</f>
      </c>
      <c r="B352" s="62">
        <f>IF(AND(Data!R182&lt;&gt;"",Data!L182="Accept&amp;#233;"),Data!L182,"")</f>
      </c>
      <c r="C352" s="63">
        <f>IF(D352&lt;&gt;"","S"&amp;TEXT(WEEKNUM(D352),"00"),"")</f>
      </c>
      <c r="D352" s="42">
        <f>IF(AND(Data!Q182&lt;&gt;"",Data!L182="Accept&amp;#233;"),Data!Q182,"")</f>
        <v>25569.041666666668</v>
      </c>
      <c r="E352" s="64">
        <f>IF(AND(Data!R182&lt;&gt;"",Data!L182="Accept&amp;#233;"),Data!R182,"")</f>
      </c>
      <c r="F352" s="65">
        <f>IF(AND(Data!R182&lt;&gt;"",Data!L182="Accept&amp;#233;"),Data!S182,"")</f>
      </c>
      <c r="G352" s="66">
        <f>IF(Data!R182='Delivery Plan'!E352,Data!U182,"")</f>
      </c>
      <c r="H352" s="53"/>
      <c r="I352" s="63">
        <f>IF(J352&lt;&gt;"","S"&amp;TEXT(WEEKNUM(J352),"00"),"")</f>
      </c>
      <c r="J352" s="42">
        <f>IF(AND(E352=Data!R182,Data!AA182&lt;&gt;""),Data!AA182,"")</f>
        <v>25569.041666666668</v>
      </c>
      <c r="K352" s="67">
        <f>IF(AND(E352=Data!R182,Data!AE182&lt;&gt;""),Data!AE182,"")</f>
        <v>25569.041666666668</v>
      </c>
      <c r="L352" s="68">
        <f>IF(E352=Data!R194,Data!AI194,"")</f>
      </c>
      <c r="M352" s="68">
        <f>IF(E352=Data!R194,Data!AJ194,"")</f>
      </c>
      <c r="N352" s="69">
        <f>IF(AND(Data!R194&lt;&gt;"",Data!L194="Accept&amp;#233;"),Data!K194,"")</f>
      </c>
    </row>
    <row x14ac:dyDescent="0.25" r="353" customHeight="1" ht="19.5" hidden="1">
      <c r="A353" s="62">
        <f>IF(AND(Data!R183&lt;&gt;"",Data!L183="Accept&amp;#233;"),Data!G183,"")</f>
      </c>
      <c r="B353" s="62">
        <f>IF(AND(Data!R183&lt;&gt;"",Data!L183="Accept&amp;#233;"),Data!L183,"")</f>
      </c>
      <c r="C353" s="63">
        <f>IF(D353&lt;&gt;"","S"&amp;TEXT(WEEKNUM(D353),"00"),"")</f>
      </c>
      <c r="D353" s="42">
        <f>IF(AND(Data!Q183&lt;&gt;"",Data!L183="Accept&amp;#233;"),Data!Q183,"")</f>
        <v>25569.041666666668</v>
      </c>
      <c r="E353" s="64">
        <f>IF(AND(Data!R183&lt;&gt;"",Data!L183="Accept&amp;#233;"),Data!R183,"")</f>
      </c>
      <c r="F353" s="65">
        <f>IF(AND(Data!R183&lt;&gt;"",Data!L183="Accept&amp;#233;"),Data!S183,"")</f>
      </c>
      <c r="G353" s="66">
        <f>IF(Data!R183='Delivery Plan'!E353,Data!U183,"")</f>
      </c>
      <c r="H353" s="53"/>
      <c r="I353" s="63">
        <f>IF(J353&lt;&gt;"","S"&amp;TEXT(WEEKNUM(J353),"00"),"")</f>
      </c>
      <c r="J353" s="42">
        <f>IF(AND(E353=Data!R183,Data!AA183&lt;&gt;""),Data!AA183,"")</f>
        <v>25569.041666666668</v>
      </c>
      <c r="K353" s="67">
        <f>IF(AND(E353=Data!R183,Data!AE183&lt;&gt;""),Data!AE183,"")</f>
        <v>25569.041666666668</v>
      </c>
      <c r="L353" s="68">
        <f>IF(E353=Data!R195,Data!AI195,"")</f>
      </c>
      <c r="M353" s="68">
        <f>IF(E353=Data!R195,Data!AJ195,"")</f>
      </c>
      <c r="N353" s="69">
        <f>IF(AND(Data!R195&lt;&gt;"",Data!L195="Accept&amp;#233;"),Data!K195,"")</f>
      </c>
    </row>
    <row x14ac:dyDescent="0.25" r="354" customHeight="1" ht="19.5" hidden="1">
      <c r="A354" s="62">
        <f>IF(AND(Data!R184&lt;&gt;"",Data!L184="Accept&amp;#233;"),Data!G184,"")</f>
      </c>
      <c r="B354" s="62">
        <f>IF(AND(Data!R184&lt;&gt;"",Data!L184="Accept&amp;#233;"),Data!L184,"")</f>
      </c>
      <c r="C354" s="63">
        <f>IF(D354&lt;&gt;"","S"&amp;TEXT(WEEKNUM(D354),"00"),"")</f>
      </c>
      <c r="D354" s="42">
        <f>IF(AND(Data!Q184&lt;&gt;"",Data!L184="Accept&amp;#233;"),Data!Q184,"")</f>
        <v>25569.041666666668</v>
      </c>
      <c r="E354" s="64">
        <f>IF(AND(Data!R184&lt;&gt;"",Data!L184="Accept&amp;#233;"),Data!R184,"")</f>
      </c>
      <c r="F354" s="65">
        <f>IF(AND(Data!R184&lt;&gt;"",Data!L184="Accept&amp;#233;"),Data!S184,"")</f>
      </c>
      <c r="G354" s="66">
        <f>IF(Data!R184='Delivery Plan'!E354,Data!U184,"")</f>
      </c>
      <c r="H354" s="53"/>
      <c r="I354" s="63">
        <f>IF(J354&lt;&gt;"","S"&amp;TEXT(WEEKNUM(J354),"00"),"")</f>
      </c>
      <c r="J354" s="42">
        <f>IF(AND(E354=Data!R184,Data!AA184&lt;&gt;""),Data!AA184,"")</f>
        <v>25569.041666666668</v>
      </c>
      <c r="K354" s="67">
        <f>IF(AND(E354=Data!R184,Data!AE184&lt;&gt;""),Data!AE184,"")</f>
        <v>25569.041666666668</v>
      </c>
      <c r="L354" s="68">
        <f>IF(E354=Data!R196,Data!AI196,"")</f>
      </c>
      <c r="M354" s="68">
        <f>IF(E354=Data!R196,Data!AJ196,"")</f>
      </c>
      <c r="N354" s="69">
        <f>IF(AND(Data!R196&lt;&gt;"",Data!L196="Accept&amp;#233;"),Data!K196,"")</f>
      </c>
    </row>
    <row x14ac:dyDescent="0.25" r="355" customHeight="1" ht="19.5" hidden="1">
      <c r="A355" s="62">
        <f>IF(AND(Data!R185&lt;&gt;"",Data!L185="Accept&amp;#233;"),Data!G185,"")</f>
      </c>
      <c r="B355" s="62">
        <f>IF(AND(Data!R185&lt;&gt;"",Data!L185="Accept&amp;#233;"),Data!L185,"")</f>
      </c>
      <c r="C355" s="63">
        <f>IF(D355&lt;&gt;"","S"&amp;TEXT(WEEKNUM(D355),"00"),"")</f>
      </c>
      <c r="D355" s="42">
        <f>IF(AND(Data!Q185&lt;&gt;"",Data!L185="Accept&amp;#233;"),Data!Q185,"")</f>
        <v>25569.041666666668</v>
      </c>
      <c r="E355" s="64">
        <f>IF(AND(Data!R185&lt;&gt;"",Data!L185="Accept&amp;#233;"),Data!R185,"")</f>
      </c>
      <c r="F355" s="65">
        <f>IF(AND(Data!R185&lt;&gt;"",Data!L185="Accept&amp;#233;"),Data!S185,"")</f>
      </c>
      <c r="G355" s="66">
        <f>IF(Data!R185='Delivery Plan'!E355,Data!U185,"")</f>
      </c>
      <c r="H355" s="53"/>
      <c r="I355" s="63">
        <f>IF(J355&lt;&gt;"","S"&amp;TEXT(WEEKNUM(J355),"00"),"")</f>
      </c>
      <c r="J355" s="42">
        <f>IF(AND(E355=Data!R185,Data!AA185&lt;&gt;""),Data!AA185,"")</f>
        <v>25569.041666666668</v>
      </c>
      <c r="K355" s="67">
        <f>IF(AND(E355=Data!R185,Data!AE185&lt;&gt;""),Data!AE185,"")</f>
        <v>25569.041666666668</v>
      </c>
      <c r="L355" s="68">
        <f>IF(E355=Data!R197,Data!AI197,"")</f>
      </c>
      <c r="M355" s="68">
        <f>IF(E355=Data!R197,Data!AJ197,"")</f>
      </c>
      <c r="N355" s="69">
        <f>IF(AND(Data!R197&lt;&gt;"",Data!L197="Accept&amp;#233;"),Data!K197,"")</f>
      </c>
    </row>
    <row x14ac:dyDescent="0.25" r="356" customHeight="1" ht="19.5" hidden="1">
      <c r="A356" s="62">
        <f>IF(AND(Data!R186&lt;&gt;"",Data!L186="Accept&amp;#233;"),Data!G186,"")</f>
      </c>
      <c r="B356" s="62">
        <f>IF(AND(Data!R186&lt;&gt;"",Data!L186="Accept&amp;#233;"),Data!L186,"")</f>
      </c>
      <c r="C356" s="63">
        <f>IF(D356&lt;&gt;"","S"&amp;TEXT(WEEKNUM(D356),"00"),"")</f>
      </c>
      <c r="D356" s="42">
        <f>IF(AND(Data!Q186&lt;&gt;"",Data!L186="Accept&amp;#233;"),Data!Q186,"")</f>
        <v>25569.041666666668</v>
      </c>
      <c r="E356" s="64">
        <f>IF(AND(Data!R186&lt;&gt;"",Data!L186="Accept&amp;#233;"),Data!R186,"")</f>
      </c>
      <c r="F356" s="65">
        <f>IF(AND(Data!R186&lt;&gt;"",Data!L186="Accept&amp;#233;"),Data!S186,"")</f>
      </c>
      <c r="G356" s="66">
        <f>IF(Data!R186='Delivery Plan'!E356,Data!U186,"")</f>
      </c>
      <c r="H356" s="53"/>
      <c r="I356" s="63">
        <f>IF(J356&lt;&gt;"","S"&amp;TEXT(WEEKNUM(J356),"00"),"")</f>
      </c>
      <c r="J356" s="42">
        <f>IF(AND(E356=Data!R186,Data!AA186&lt;&gt;""),Data!AA186,"")</f>
        <v>25569.041666666668</v>
      </c>
      <c r="K356" s="67">
        <f>IF(AND(E356=Data!R186,Data!AE186&lt;&gt;""),Data!AE186,"")</f>
        <v>25569.041666666668</v>
      </c>
      <c r="L356" s="68">
        <f>IF(E356=Data!R198,Data!AI198,"")</f>
      </c>
      <c r="M356" s="68">
        <f>IF(E356=Data!R198,Data!AJ198,"")</f>
      </c>
      <c r="N356" s="69">
        <f>IF(AND(Data!R198&lt;&gt;"",Data!L198="Accept&amp;#233;"),Data!K198,"")</f>
      </c>
    </row>
    <row x14ac:dyDescent="0.25" r="357" customHeight="1" ht="19.5" hidden="1">
      <c r="A357" s="62">
        <f>IF(AND(Data!R187&lt;&gt;"",Data!L187="Accept&amp;#233;"),Data!G187,"")</f>
      </c>
      <c r="B357" s="62">
        <f>IF(AND(Data!R187&lt;&gt;"",Data!L187="Accept&amp;#233;"),Data!L187,"")</f>
      </c>
      <c r="C357" s="63">
        <f>IF(D357&lt;&gt;"","S"&amp;TEXT(WEEKNUM(D357),"00"),"")</f>
      </c>
      <c r="D357" s="42">
        <f>IF(AND(Data!Q187&lt;&gt;"",Data!L187="Accept&amp;#233;"),Data!Q187,"")</f>
        <v>25569.041666666668</v>
      </c>
      <c r="E357" s="64">
        <f>IF(AND(Data!R187&lt;&gt;"",Data!L187="Accept&amp;#233;"),Data!R187,"")</f>
      </c>
      <c r="F357" s="65">
        <f>IF(AND(Data!R187&lt;&gt;"",Data!L187="Accept&amp;#233;"),Data!S187,"")</f>
      </c>
      <c r="G357" s="66">
        <f>IF(Data!R187='Delivery Plan'!E357,Data!U187,"")</f>
      </c>
      <c r="H357" s="53"/>
      <c r="I357" s="63">
        <f>IF(J357&lt;&gt;"","S"&amp;TEXT(WEEKNUM(J357),"00"),"")</f>
      </c>
      <c r="J357" s="42">
        <f>IF(AND(E357=Data!R187,Data!AA187&lt;&gt;""),Data!AA187,"")</f>
        <v>25569.041666666668</v>
      </c>
      <c r="K357" s="67">
        <f>IF(AND(E357=Data!R187,Data!AE187&lt;&gt;""),Data!AE187,"")</f>
        <v>25569.041666666668</v>
      </c>
      <c r="L357" s="68">
        <f>IF(E357=Data!R199,Data!AI199,"")</f>
      </c>
      <c r="M357" s="68">
        <f>IF(E357=Data!R199,Data!AJ199,"")</f>
      </c>
      <c r="N357" s="69">
        <f>IF(AND(Data!R199&lt;&gt;"",Data!L199="Accept&amp;#233;"),Data!K199,"")</f>
      </c>
    </row>
    <row x14ac:dyDescent="0.25" r="358" customHeight="1" ht="19.5" hidden="1">
      <c r="A358" s="62">
        <f>IF(AND(Data!R188&lt;&gt;"",Data!L188="Accept&amp;#233;"),Data!G188,"")</f>
      </c>
      <c r="B358" s="62">
        <f>IF(AND(Data!R188&lt;&gt;"",Data!L188="Accept&amp;#233;"),Data!L188,"")</f>
      </c>
      <c r="C358" s="63">
        <f>IF(D358&lt;&gt;"","S"&amp;TEXT(WEEKNUM(D358),"00"),"")</f>
      </c>
      <c r="D358" s="42">
        <f>IF(AND(Data!Q188&lt;&gt;"",Data!L188="Accept&amp;#233;"),Data!Q188,"")</f>
        <v>25569.041666666668</v>
      </c>
      <c r="E358" s="64">
        <f>IF(AND(Data!R188&lt;&gt;"",Data!L188="Accept&amp;#233;"),Data!R188,"")</f>
      </c>
      <c r="F358" s="65">
        <f>IF(AND(Data!R188&lt;&gt;"",Data!L188="Accept&amp;#233;"),Data!S188,"")</f>
      </c>
      <c r="G358" s="66">
        <f>IF(Data!R188='Delivery Plan'!E358,Data!U188,"")</f>
      </c>
      <c r="H358" s="53"/>
      <c r="I358" s="63">
        <f>IF(J358&lt;&gt;"","S"&amp;TEXT(WEEKNUM(J358),"00"),"")</f>
      </c>
      <c r="J358" s="42">
        <f>IF(AND(E358=Data!R188,Data!AA188&lt;&gt;""),Data!AA188,"")</f>
        <v>25569.041666666668</v>
      </c>
      <c r="K358" s="67">
        <f>IF(AND(E358=Data!R188,Data!AE188&lt;&gt;""),Data!AE188,"")</f>
        <v>25569.041666666668</v>
      </c>
      <c r="L358" s="68">
        <f>IF(E358=Data!R200,Data!AI200,"")</f>
      </c>
      <c r="M358" s="68">
        <f>IF(E358=Data!R200,Data!AJ200,"")</f>
      </c>
      <c r="N358" s="69">
        <f>IF(AND(Data!R200&lt;&gt;"",Data!L200="Accept&amp;#233;"),Data!K200,"")</f>
      </c>
    </row>
    <row x14ac:dyDescent="0.25" r="359" customHeight="1" ht="19.5" hidden="1">
      <c r="A359" s="62">
        <f>IF(AND(Data!R189&lt;&gt;"",Data!L189="Accept&amp;#233;"),Data!G189,"")</f>
      </c>
      <c r="B359" s="62">
        <f>IF(AND(Data!R189&lt;&gt;"",Data!L189="Accept&amp;#233;"),Data!L189,"")</f>
      </c>
      <c r="C359" s="63">
        <f>IF(D359&lt;&gt;"","S"&amp;TEXT(WEEKNUM(D359),"00"),"")</f>
      </c>
      <c r="D359" s="42">
        <f>IF(AND(Data!Q189&lt;&gt;"",Data!L189="Accept&amp;#233;"),Data!Q189,"")</f>
        <v>25569.041666666668</v>
      </c>
      <c r="E359" s="64">
        <f>IF(AND(Data!R189&lt;&gt;"",Data!L189="Accept&amp;#233;"),Data!R189,"")</f>
      </c>
      <c r="F359" s="65">
        <f>IF(AND(Data!R189&lt;&gt;"",Data!L189="Accept&amp;#233;"),Data!S189,"")</f>
      </c>
      <c r="G359" s="66">
        <f>IF(Data!R189='Delivery Plan'!E359,Data!U189,"")</f>
      </c>
      <c r="H359" s="53"/>
      <c r="I359" s="63">
        <f>IF(J359&lt;&gt;"","S"&amp;TEXT(WEEKNUM(J359),"00"),"")</f>
      </c>
      <c r="J359" s="42">
        <f>IF(AND(E359=Data!R189,Data!AA189&lt;&gt;""),Data!AA189,"")</f>
        <v>25569.041666666668</v>
      </c>
      <c r="K359" s="67">
        <f>IF(AND(E359=Data!R189,Data!AE189&lt;&gt;""),Data!AE189,"")</f>
        <v>25569.041666666668</v>
      </c>
      <c r="L359" s="68">
        <f>IF(E359=Data!R201,Data!AI201,"")</f>
      </c>
      <c r="M359" s="68">
        <f>IF(E359=Data!R201,Data!AJ201,"")</f>
      </c>
      <c r="N359" s="69">
        <f>IF(AND(Data!R201&lt;&gt;"",Data!L201="Accept&amp;#233;"),Data!K201,"")</f>
      </c>
    </row>
    <row x14ac:dyDescent="0.25" r="360" customHeight="1" ht="19.5" hidden="1">
      <c r="A360" s="62">
        <f>IF(AND(Data!R190&lt;&gt;"",Data!L190="Accept&amp;#233;"),Data!G190,"")</f>
      </c>
      <c r="B360" s="62">
        <f>IF(AND(Data!R190&lt;&gt;"",Data!L190="Accept&amp;#233;"),Data!L190,"")</f>
      </c>
      <c r="C360" s="63">
        <f>IF(D360&lt;&gt;"","S"&amp;TEXT(WEEKNUM(D360),"00"),"")</f>
      </c>
      <c r="D360" s="42">
        <f>IF(AND(Data!Q190&lt;&gt;"",Data!L190="Accept&amp;#233;"),Data!Q190,"")</f>
        <v>25569.041666666668</v>
      </c>
      <c r="E360" s="64">
        <f>IF(AND(Data!R190&lt;&gt;"",Data!L190="Accept&amp;#233;"),Data!R190,"")</f>
      </c>
      <c r="F360" s="65">
        <f>IF(AND(Data!R190&lt;&gt;"",Data!L190="Accept&amp;#233;"),Data!S190,"")</f>
      </c>
      <c r="G360" s="66">
        <f>IF(Data!R190='Delivery Plan'!E360,Data!U190,"")</f>
      </c>
      <c r="H360" s="53"/>
      <c r="I360" s="63">
        <f>IF(J360&lt;&gt;"","S"&amp;TEXT(WEEKNUM(J360),"00"),"")</f>
      </c>
      <c r="J360" s="42">
        <f>IF(AND(E360=Data!R190,Data!AA190&lt;&gt;""),Data!AA190,"")</f>
        <v>25569.041666666668</v>
      </c>
      <c r="K360" s="67">
        <f>IF(AND(E360=Data!R190,Data!AE190&lt;&gt;""),Data!AE190,"")</f>
        <v>25569.041666666668</v>
      </c>
      <c r="L360" s="68">
        <f>IF(E360=Data!R202,Data!AI202,"")</f>
      </c>
      <c r="M360" s="68">
        <f>IF(E360=Data!R202,Data!AJ202,"")</f>
      </c>
      <c r="N360" s="69">
        <f>IF(AND(Data!R202&lt;&gt;"",Data!L202="Accept&amp;#233;"),Data!K202,"")</f>
      </c>
    </row>
    <row x14ac:dyDescent="0.25" r="361" customHeight="1" ht="19.5" hidden="1">
      <c r="A361" s="62">
        <f>IF(AND(Data!R191&lt;&gt;"",Data!L191="Accept&amp;#233;"),Data!G191,"")</f>
      </c>
      <c r="B361" s="62">
        <f>IF(AND(Data!R191&lt;&gt;"",Data!L191="Accept&amp;#233;"),Data!L191,"")</f>
      </c>
      <c r="C361" s="63">
        <f>IF(D361&lt;&gt;"","S"&amp;TEXT(WEEKNUM(D361),"00"),"")</f>
      </c>
      <c r="D361" s="42">
        <f>IF(AND(Data!Q191&lt;&gt;"",Data!L191="Accept&amp;#233;"),Data!Q191,"")</f>
        <v>25569.041666666668</v>
      </c>
      <c r="E361" s="64">
        <f>IF(AND(Data!R191&lt;&gt;"",Data!L191="Accept&amp;#233;"),Data!R191,"")</f>
      </c>
      <c r="F361" s="65">
        <f>IF(AND(Data!R191&lt;&gt;"",Data!L191="Accept&amp;#233;"),Data!S191,"")</f>
      </c>
      <c r="G361" s="66">
        <f>IF(Data!R191='Delivery Plan'!E361,Data!U191,"")</f>
      </c>
      <c r="H361" s="53"/>
      <c r="I361" s="63">
        <f>IF(J361&lt;&gt;"","S"&amp;TEXT(WEEKNUM(J361),"00"),"")</f>
      </c>
      <c r="J361" s="42">
        <f>IF(AND(E361=Data!R191,Data!AA191&lt;&gt;""),Data!AA191,"")</f>
        <v>25569.041666666668</v>
      </c>
      <c r="K361" s="67">
        <f>IF(AND(E361=Data!R191,Data!AE191&lt;&gt;""),Data!AE191,"")</f>
        <v>25569.041666666668</v>
      </c>
      <c r="L361" s="68">
        <f>IF(E361=Data!R203,Data!AI203,"")</f>
      </c>
      <c r="M361" s="68">
        <f>IF(E361=Data!R203,Data!AJ203,"")</f>
      </c>
      <c r="N361" s="69">
        <f>IF(AND(Data!R203&lt;&gt;"",Data!L203="Accept&amp;#233;"),Data!K203,"")</f>
      </c>
    </row>
    <row x14ac:dyDescent="0.25" r="362" customHeight="1" ht="19.5" hidden="1">
      <c r="A362" s="62">
        <f>IF(AND(Data!R192&lt;&gt;"",Data!L192="Accept&amp;#233;"),Data!G192,"")</f>
      </c>
      <c r="B362" s="62">
        <f>IF(AND(Data!R192&lt;&gt;"",Data!L192="Accept&amp;#233;"),Data!L192,"")</f>
      </c>
      <c r="C362" s="63">
        <f>IF(D362&lt;&gt;"","S"&amp;TEXT(WEEKNUM(D362),"00"),"")</f>
      </c>
      <c r="D362" s="42">
        <f>IF(AND(Data!Q192&lt;&gt;"",Data!L192="Accept&amp;#233;"),Data!Q192,"")</f>
        <v>25569.041666666668</v>
      </c>
      <c r="E362" s="64">
        <f>IF(AND(Data!R192&lt;&gt;"",Data!L192="Accept&amp;#233;"),Data!R192,"")</f>
      </c>
      <c r="F362" s="65">
        <f>IF(AND(Data!R192&lt;&gt;"",Data!L192="Accept&amp;#233;"),Data!S192,"")</f>
      </c>
      <c r="G362" s="66">
        <f>IF(Data!R192='Delivery Plan'!E362,Data!U192,"")</f>
      </c>
      <c r="H362" s="53"/>
      <c r="I362" s="63">
        <f>IF(J362&lt;&gt;"","S"&amp;TEXT(WEEKNUM(J362),"00"),"")</f>
      </c>
      <c r="J362" s="42">
        <f>IF(AND(E362=Data!R192,Data!AA192&lt;&gt;""),Data!AA192,"")</f>
        <v>25569.041666666668</v>
      </c>
      <c r="K362" s="67">
        <f>IF(AND(E362=Data!R192,Data!AE192&lt;&gt;""),Data!AE192,"")</f>
        <v>25569.041666666668</v>
      </c>
      <c r="L362" s="68">
        <f>IF(E362=Data!R204,Data!AI204,"")</f>
      </c>
      <c r="M362" s="68">
        <f>IF(E362=Data!R204,Data!AJ204,"")</f>
      </c>
      <c r="N362" s="69">
        <f>IF(AND(Data!R204&lt;&gt;"",Data!L204="Accept&amp;#233;"),Data!K204,"")</f>
      </c>
    </row>
    <row x14ac:dyDescent="0.25" r="363" customHeight="1" ht="19.5" hidden="1">
      <c r="A363" s="62">
        <f>IF(AND(Data!R193&lt;&gt;"",Data!L193="Accept&amp;#233;"),Data!G193,"")</f>
      </c>
      <c r="B363" s="62">
        <f>IF(AND(Data!R193&lt;&gt;"",Data!L193="Accept&amp;#233;"),Data!L193,"")</f>
      </c>
      <c r="C363" s="63">
        <f>IF(D363&lt;&gt;"","S"&amp;TEXT(WEEKNUM(D363),"00"),"")</f>
      </c>
      <c r="D363" s="42">
        <f>IF(AND(Data!Q193&lt;&gt;"",Data!L193="Accept&amp;#233;"),Data!Q193,"")</f>
        <v>25569.041666666668</v>
      </c>
      <c r="E363" s="64">
        <f>IF(AND(Data!R193&lt;&gt;"",Data!L193="Accept&amp;#233;"),Data!R193,"")</f>
      </c>
      <c r="F363" s="65">
        <f>IF(AND(Data!R193&lt;&gt;"",Data!L193="Accept&amp;#233;"),Data!S193,"")</f>
      </c>
      <c r="G363" s="66">
        <f>IF(Data!R193='Delivery Plan'!E363,Data!U193,"")</f>
      </c>
      <c r="H363" s="53"/>
      <c r="I363" s="63">
        <f>IF(J363&lt;&gt;"","S"&amp;TEXT(WEEKNUM(J363),"00"),"")</f>
      </c>
      <c r="J363" s="42">
        <f>IF(AND(E363=Data!R193,Data!AA193&lt;&gt;""),Data!AA193,"")</f>
        <v>25569.041666666668</v>
      </c>
      <c r="K363" s="67">
        <f>IF(AND(E363=Data!R193,Data!AE193&lt;&gt;""),Data!AE193,"")</f>
        <v>25569.041666666668</v>
      </c>
      <c r="L363" s="68">
        <f>IF(E363=Data!R205,Data!AI205,"")</f>
      </c>
      <c r="M363" s="68">
        <f>IF(E363=Data!R205,Data!AJ205,"")</f>
      </c>
      <c r="N363" s="69">
        <f>IF(AND(Data!R205&lt;&gt;"",Data!L205="Accept&amp;#233;"),Data!K205,"")</f>
      </c>
    </row>
    <row x14ac:dyDescent="0.25" r="364" customHeight="1" ht="19.5" hidden="1">
      <c r="A364" s="62">
        <f>IF(AND(Data!R194&lt;&gt;"",Data!L194="Accept&amp;#233;"),Data!G194,"")</f>
      </c>
      <c r="B364" s="62">
        <f>IF(AND(Data!R194&lt;&gt;"",Data!L194="Accept&amp;#233;"),Data!L194,"")</f>
      </c>
      <c r="C364" s="63">
        <f>IF(D364&lt;&gt;"","S"&amp;TEXT(WEEKNUM(D364),"00"),"")</f>
      </c>
      <c r="D364" s="42">
        <f>IF(AND(Data!Q194&lt;&gt;"",Data!L194="Accept&amp;#233;"),Data!Q194,"")</f>
        <v>25569.041666666668</v>
      </c>
      <c r="E364" s="64">
        <f>IF(AND(Data!R194&lt;&gt;"",Data!L194="Accept&amp;#233;"),Data!R194,"")</f>
      </c>
      <c r="F364" s="65">
        <f>IF(AND(Data!R194&lt;&gt;"",Data!L194="Accept&amp;#233;"),Data!S194,"")</f>
      </c>
      <c r="G364" s="66">
        <f>IF(Data!R194='Delivery Plan'!E364,Data!U194,"")</f>
      </c>
      <c r="H364" s="53"/>
      <c r="I364" s="63">
        <f>IF(J364&lt;&gt;"","S"&amp;TEXT(WEEKNUM(J364),"00"),"")</f>
      </c>
      <c r="J364" s="42">
        <f>IF(AND(E364=Data!R194,Data!AA194&lt;&gt;""),Data!AA194,"")</f>
        <v>25569.041666666668</v>
      </c>
      <c r="K364" s="67">
        <f>IF(AND(E364=Data!R194,Data!AE194&lt;&gt;""),Data!AE194,"")</f>
        <v>25569.041666666668</v>
      </c>
      <c r="L364" s="68">
        <f>IF(E364=Data!R206,Data!AI206,"")</f>
      </c>
      <c r="M364" s="68">
        <f>IF(E364=Data!R206,Data!AJ206,"")</f>
      </c>
      <c r="N364" s="69">
        <f>IF(AND(Data!R206&lt;&gt;"",Data!L206="Accept&amp;#233;"),Data!K206,"")</f>
      </c>
    </row>
    <row x14ac:dyDescent="0.25" r="365" customHeight="1" ht="19.5" hidden="1">
      <c r="A365" s="62">
        <f>IF(AND(Data!R195&lt;&gt;"",Data!L195="Accept&amp;#233;"),Data!G195,"")</f>
      </c>
      <c r="B365" s="62">
        <f>IF(AND(Data!R195&lt;&gt;"",Data!L195="Accept&amp;#233;"),Data!L195,"")</f>
      </c>
      <c r="C365" s="63">
        <f>IF(D365&lt;&gt;"","S"&amp;TEXT(WEEKNUM(D365),"00"),"")</f>
      </c>
      <c r="D365" s="42">
        <f>IF(AND(Data!Q195&lt;&gt;"",Data!L195="Accept&amp;#233;"),Data!Q195,"")</f>
        <v>25569.041666666668</v>
      </c>
      <c r="E365" s="64">
        <f>IF(AND(Data!R195&lt;&gt;"",Data!L195="Accept&amp;#233;"),Data!R195,"")</f>
      </c>
      <c r="F365" s="65">
        <f>IF(AND(Data!R195&lt;&gt;"",Data!L195="Accept&amp;#233;"),Data!S195,"")</f>
      </c>
      <c r="G365" s="66">
        <f>IF(Data!R195='Delivery Plan'!E365,Data!U195,"")</f>
      </c>
      <c r="H365" s="53"/>
      <c r="I365" s="63">
        <f>IF(J365&lt;&gt;"","S"&amp;TEXT(WEEKNUM(J365),"00"),"")</f>
      </c>
      <c r="J365" s="42">
        <f>IF(AND(E365=Data!R195,Data!AA195&lt;&gt;""),Data!AA195,"")</f>
        <v>25569.041666666668</v>
      </c>
      <c r="K365" s="67">
        <f>IF(AND(E365=Data!R195,Data!AE195&lt;&gt;""),Data!AE195,"")</f>
        <v>25569.041666666668</v>
      </c>
      <c r="L365" s="68">
        <f>IF(E365=Data!R207,Data!AI207,"")</f>
      </c>
      <c r="M365" s="68">
        <f>IF(E365=Data!R207,Data!AJ207,"")</f>
      </c>
      <c r="N365" s="69">
        <f>IF(AND(Data!R207&lt;&gt;"",Data!L207="Accept&amp;#233;"),Data!K207,"")</f>
      </c>
    </row>
    <row x14ac:dyDescent="0.25" r="366" customHeight="1" ht="19.5" hidden="1">
      <c r="A366" s="62">
        <f>IF(AND(Data!R196&lt;&gt;"",Data!L196="Accept&amp;#233;"),Data!G196,"")</f>
      </c>
      <c r="B366" s="62">
        <f>IF(AND(Data!R196&lt;&gt;"",Data!L196="Accept&amp;#233;"),Data!L196,"")</f>
      </c>
      <c r="C366" s="63">
        <f>IF(D366&lt;&gt;"","S"&amp;TEXT(WEEKNUM(D366),"00"),"")</f>
      </c>
      <c r="D366" s="42">
        <f>IF(AND(Data!Q196&lt;&gt;"",Data!L196="Accept&amp;#233;"),Data!Q196,"")</f>
        <v>25569.041666666668</v>
      </c>
      <c r="E366" s="64">
        <f>IF(AND(Data!R196&lt;&gt;"",Data!L196="Accept&amp;#233;"),Data!R196,"")</f>
      </c>
      <c r="F366" s="65">
        <f>IF(AND(Data!R196&lt;&gt;"",Data!L196="Accept&amp;#233;"),Data!S196,"")</f>
      </c>
      <c r="G366" s="66">
        <f>IF(Data!R196='Delivery Plan'!E366,Data!U196,"")</f>
      </c>
      <c r="H366" s="53"/>
      <c r="I366" s="63">
        <f>IF(J366&lt;&gt;"","S"&amp;TEXT(WEEKNUM(J366),"00"),"")</f>
      </c>
      <c r="J366" s="42">
        <f>IF(AND(E366=Data!R196,Data!AA196&lt;&gt;""),Data!AA196,"")</f>
        <v>25569.041666666668</v>
      </c>
      <c r="K366" s="67">
        <f>IF(AND(E366=Data!R196,Data!AE196&lt;&gt;""),Data!AE196,"")</f>
        <v>25569.041666666668</v>
      </c>
      <c r="L366" s="68">
        <f>IF(E366=Data!R208,Data!AI208,"")</f>
      </c>
      <c r="M366" s="68">
        <f>IF(E366=Data!R208,Data!AJ208,"")</f>
      </c>
      <c r="N366" s="69">
        <f>IF(AND(Data!R208&lt;&gt;"",Data!L208="Accept&amp;#233;"),Data!K208,"")</f>
      </c>
    </row>
    <row x14ac:dyDescent="0.25" r="367" customHeight="1" ht="19.5" hidden="1">
      <c r="A367" s="62">
        <f>IF(AND(Data!R197&lt;&gt;"",Data!L197="Accept&amp;#233;"),Data!G197,"")</f>
      </c>
      <c r="B367" s="62">
        <f>IF(AND(Data!R197&lt;&gt;"",Data!L197="Accept&amp;#233;"),Data!L197,"")</f>
      </c>
      <c r="C367" s="63">
        <f>IF(D367&lt;&gt;"","S"&amp;TEXT(WEEKNUM(D367),"00"),"")</f>
      </c>
      <c r="D367" s="42">
        <f>IF(AND(Data!Q197&lt;&gt;"",Data!L197="Accept&amp;#233;"),Data!Q197,"")</f>
        <v>25569.041666666668</v>
      </c>
      <c r="E367" s="64">
        <f>IF(AND(Data!R197&lt;&gt;"",Data!L197="Accept&amp;#233;"),Data!R197,"")</f>
      </c>
      <c r="F367" s="65">
        <f>IF(AND(Data!R197&lt;&gt;"",Data!L197="Accept&amp;#233;"),Data!S197,"")</f>
      </c>
      <c r="G367" s="66">
        <f>IF(Data!R197='Delivery Plan'!E367,Data!U197,"")</f>
      </c>
      <c r="H367" s="53"/>
      <c r="I367" s="63">
        <f>IF(J367&lt;&gt;"","S"&amp;TEXT(WEEKNUM(J367),"00"),"")</f>
      </c>
      <c r="J367" s="42">
        <f>IF(AND(E367=Data!R197,Data!AA197&lt;&gt;""),Data!AA197,"")</f>
        <v>25569.041666666668</v>
      </c>
      <c r="K367" s="67">
        <f>IF(AND(E367=Data!R197,Data!AE197&lt;&gt;""),Data!AE197,"")</f>
        <v>25569.041666666668</v>
      </c>
      <c r="L367" s="68">
        <f>IF(E367=Data!R209,Data!AI209,"")</f>
      </c>
      <c r="M367" s="68">
        <f>IF(E367=Data!R209,Data!AJ209,"")</f>
      </c>
      <c r="N367" s="69">
        <f>IF(AND(Data!R209&lt;&gt;"",Data!L209="Accept&amp;#233;"),Data!K209,"")</f>
      </c>
    </row>
    <row x14ac:dyDescent="0.25" r="368" customHeight="1" ht="19.5" hidden="1">
      <c r="A368" s="62">
        <f>IF(AND(Data!R198&lt;&gt;"",Data!L198="Accept&amp;#233;"),Data!G198,"")</f>
      </c>
      <c r="B368" s="62">
        <f>IF(AND(Data!R198&lt;&gt;"",Data!L198="Accept&amp;#233;"),Data!L198,"")</f>
      </c>
      <c r="C368" s="63">
        <f>IF(D368&lt;&gt;"","S"&amp;TEXT(WEEKNUM(D368),"00"),"")</f>
      </c>
      <c r="D368" s="42">
        <f>IF(AND(Data!Q198&lt;&gt;"",Data!L198="Accept&amp;#233;"),Data!Q198,"")</f>
        <v>25569.041666666668</v>
      </c>
      <c r="E368" s="64">
        <f>IF(AND(Data!R198&lt;&gt;"",Data!L198="Accept&amp;#233;"),Data!R198,"")</f>
      </c>
      <c r="F368" s="65">
        <f>IF(AND(Data!R198&lt;&gt;"",Data!L198="Accept&amp;#233;"),Data!S198,"")</f>
      </c>
      <c r="G368" s="66">
        <f>IF(Data!R198='Delivery Plan'!E368,Data!U198,"")</f>
      </c>
      <c r="H368" s="53"/>
      <c r="I368" s="63">
        <f>IF(J368&lt;&gt;"","S"&amp;TEXT(WEEKNUM(J368),"00"),"")</f>
      </c>
      <c r="J368" s="42">
        <f>IF(AND(E368=Data!R198,Data!AA198&lt;&gt;""),Data!AA198,"")</f>
        <v>25569.041666666668</v>
      </c>
      <c r="K368" s="67">
        <f>IF(AND(E368=Data!R198,Data!AE198&lt;&gt;""),Data!AE198,"")</f>
        <v>25569.041666666668</v>
      </c>
      <c r="L368" s="68">
        <f>IF(E368=Data!R210,Data!AI210,"")</f>
      </c>
      <c r="M368" s="68">
        <f>IF(E368=Data!R210,Data!AJ210,"")</f>
      </c>
      <c r="N368" s="69">
        <f>IF(AND(Data!R210&lt;&gt;"",Data!L210="Accept&amp;#233;"),Data!K210,"")</f>
      </c>
    </row>
    <row x14ac:dyDescent="0.25" r="369" customHeight="1" ht="19.5" hidden="1">
      <c r="A369" s="62">
        <f>IF(AND(Data!R199&lt;&gt;"",Data!L199="Accept&amp;#233;"),Data!G199,"")</f>
      </c>
      <c r="B369" s="62">
        <f>IF(AND(Data!R199&lt;&gt;"",Data!L199="Accept&amp;#233;"),Data!L199,"")</f>
      </c>
      <c r="C369" s="63">
        <f>IF(D369&lt;&gt;"","S"&amp;TEXT(WEEKNUM(D369),"00"),"")</f>
      </c>
      <c r="D369" s="42">
        <f>IF(AND(Data!Q199&lt;&gt;"",Data!L199="Accept&amp;#233;"),Data!Q199,"")</f>
        <v>25569.041666666668</v>
      </c>
      <c r="E369" s="64">
        <f>IF(AND(Data!R199&lt;&gt;"",Data!L199="Accept&amp;#233;"),Data!R199,"")</f>
      </c>
      <c r="F369" s="65">
        <f>IF(AND(Data!R199&lt;&gt;"",Data!L199="Accept&amp;#233;"),Data!S199,"")</f>
      </c>
      <c r="G369" s="66">
        <f>IF(Data!R199='Delivery Plan'!E369,Data!U199,"")</f>
      </c>
      <c r="H369" s="53"/>
      <c r="I369" s="63">
        <f>IF(J369&lt;&gt;"","S"&amp;TEXT(WEEKNUM(J369),"00"),"")</f>
      </c>
      <c r="J369" s="42">
        <f>IF(AND(E369=Data!R199,Data!AA199&lt;&gt;""),Data!AA199,"")</f>
        <v>25569.041666666668</v>
      </c>
      <c r="K369" s="67">
        <f>IF(AND(E369=Data!R199,Data!AE199&lt;&gt;""),Data!AE199,"")</f>
        <v>25569.041666666668</v>
      </c>
      <c r="L369" s="68">
        <f>IF(E369=Data!R211,Data!AI211,"")</f>
      </c>
      <c r="M369" s="68">
        <f>IF(E369=Data!R211,Data!AJ211,"")</f>
      </c>
      <c r="N369" s="69">
        <f>IF(AND(Data!R211&lt;&gt;"",Data!L211="Accept&amp;#233;"),Data!K211,"")</f>
      </c>
    </row>
    <row x14ac:dyDescent="0.25" r="370" customHeight="1" ht="19.5" hidden="1">
      <c r="A370" s="62">
        <f>IF(AND(Data!R200&lt;&gt;"",Data!L200="Accept&amp;#233;"),Data!G200,"")</f>
      </c>
      <c r="B370" s="62">
        <f>IF(AND(Data!R200&lt;&gt;"",Data!L200="Accept&amp;#233;"),Data!L200,"")</f>
      </c>
      <c r="C370" s="63">
        <f>IF(D370&lt;&gt;"","S"&amp;TEXT(WEEKNUM(D370),"00"),"")</f>
      </c>
      <c r="D370" s="42">
        <f>IF(AND(Data!Q200&lt;&gt;"",Data!L200="Accept&amp;#233;"),Data!Q200,"")</f>
        <v>25569.041666666668</v>
      </c>
      <c r="E370" s="64">
        <f>IF(AND(Data!R200&lt;&gt;"",Data!L200="Accept&amp;#233;"),Data!R200,"")</f>
      </c>
      <c r="F370" s="65">
        <f>IF(AND(Data!R200&lt;&gt;"",Data!L200="Accept&amp;#233;"),Data!S200,"")</f>
      </c>
      <c r="G370" s="66">
        <f>IF(Data!R200='Delivery Plan'!E370,Data!U200,"")</f>
      </c>
      <c r="H370" s="53"/>
      <c r="I370" s="63">
        <f>IF(J370&lt;&gt;"","S"&amp;TEXT(WEEKNUM(J370),"00"),"")</f>
      </c>
      <c r="J370" s="42">
        <f>IF(AND(E370=Data!R200,Data!AA200&lt;&gt;""),Data!AA200,"")</f>
        <v>25569.041666666668</v>
      </c>
      <c r="K370" s="67">
        <f>IF(AND(E370=Data!R200,Data!AE200&lt;&gt;""),Data!AE200,"")</f>
        <v>25569.041666666668</v>
      </c>
      <c r="L370" s="68">
        <f>IF(E370=Data!R212,Data!AI212,"")</f>
      </c>
      <c r="M370" s="68">
        <f>IF(E370=Data!R212,Data!AJ212,"")</f>
      </c>
      <c r="N370" s="69">
        <f>IF(AND(Data!R212&lt;&gt;"",Data!L212="Accept&amp;#233;"),Data!K212,"")</f>
      </c>
    </row>
    <row x14ac:dyDescent="0.25" r="371" customHeight="1" ht="19.5" hidden="1">
      <c r="A371" s="62">
        <f>IF(AND(Data!R201&lt;&gt;"",Data!L201="Accept&amp;#233;"),Data!G201,"")</f>
      </c>
      <c r="B371" s="62">
        <f>IF(AND(Data!R201&lt;&gt;"",Data!L201="Accept&amp;#233;"),Data!L201,"")</f>
      </c>
      <c r="C371" s="63">
        <f>IF(D371&lt;&gt;"","S"&amp;TEXT(WEEKNUM(D371),"00"),"")</f>
      </c>
      <c r="D371" s="42">
        <f>IF(AND(Data!Q201&lt;&gt;"",Data!L201="Accept&amp;#233;"),Data!Q201,"")</f>
        <v>25569.041666666668</v>
      </c>
      <c r="E371" s="64">
        <f>IF(AND(Data!R201&lt;&gt;"",Data!L201="Accept&amp;#233;"),Data!R201,"")</f>
      </c>
      <c r="F371" s="65">
        <f>IF(AND(Data!R201&lt;&gt;"",Data!L201="Accept&amp;#233;"),Data!S201,"")</f>
      </c>
      <c r="G371" s="66">
        <f>IF(Data!R201='Delivery Plan'!E371,Data!U201,"")</f>
      </c>
      <c r="H371" s="53"/>
      <c r="I371" s="63">
        <f>IF(J371&lt;&gt;"","S"&amp;TEXT(WEEKNUM(J371),"00"),"")</f>
      </c>
      <c r="J371" s="42">
        <f>IF(AND(E371=Data!R201,Data!AA201&lt;&gt;""),Data!AA201,"")</f>
        <v>25569.041666666668</v>
      </c>
      <c r="K371" s="67">
        <f>IF(AND(E371=Data!R201,Data!AE201&lt;&gt;""),Data!AE201,"")</f>
        <v>25569.041666666668</v>
      </c>
      <c r="L371" s="68">
        <f>IF(E371=Data!R213,Data!AI213,"")</f>
      </c>
      <c r="M371" s="68">
        <f>IF(E371=Data!R213,Data!AJ213,"")</f>
      </c>
      <c r="N371" s="69">
        <f>IF(AND(Data!R213&lt;&gt;"",Data!L213="Accept&amp;#233;"),Data!K213,"")</f>
      </c>
    </row>
    <row x14ac:dyDescent="0.25" r="372" customHeight="1" ht="19.5" hidden="1">
      <c r="A372" s="62">
        <f>IF(AND(Data!R202&lt;&gt;"",Data!L202="Accept&amp;#233;"),Data!G202,"")</f>
      </c>
      <c r="B372" s="62">
        <f>IF(AND(Data!R202&lt;&gt;"",Data!L202="Accept&amp;#233;"),Data!L202,"")</f>
      </c>
      <c r="C372" s="63">
        <f>IF(D372&lt;&gt;"","S"&amp;TEXT(WEEKNUM(D372),"00"),"")</f>
      </c>
      <c r="D372" s="42">
        <f>IF(AND(Data!Q202&lt;&gt;"",Data!L202="Accept&amp;#233;"),Data!Q202,"")</f>
        <v>25569.041666666668</v>
      </c>
      <c r="E372" s="64">
        <f>IF(AND(Data!R202&lt;&gt;"",Data!L202="Accept&amp;#233;"),Data!R202,"")</f>
      </c>
      <c r="F372" s="65">
        <f>IF(AND(Data!R202&lt;&gt;"",Data!L202="Accept&amp;#233;"),Data!S202,"")</f>
      </c>
      <c r="G372" s="66">
        <f>IF(Data!R202='Delivery Plan'!E372,Data!U202,"")</f>
      </c>
      <c r="H372" s="53"/>
      <c r="I372" s="63">
        <f>IF(J372&lt;&gt;"","S"&amp;TEXT(WEEKNUM(J372),"00"),"")</f>
      </c>
      <c r="J372" s="42">
        <f>IF(AND(E372=Data!R202,Data!AA202&lt;&gt;""),Data!AA202,"")</f>
        <v>25569.041666666668</v>
      </c>
      <c r="K372" s="67">
        <f>IF(AND(E372=Data!R202,Data!AE202&lt;&gt;""),Data!AE202,"")</f>
        <v>25569.041666666668</v>
      </c>
      <c r="L372" s="68">
        <f>IF(E372=Data!R214,Data!AI214,"")</f>
      </c>
      <c r="M372" s="68">
        <f>IF(E372=Data!R214,Data!AJ214,"")</f>
      </c>
      <c r="N372" s="69">
        <f>IF(AND(Data!R214&lt;&gt;"",Data!L214="Accept&amp;#233;"),Data!K214,"")</f>
      </c>
    </row>
    <row x14ac:dyDescent="0.25" r="373" customHeight="1" ht="19.5" hidden="1">
      <c r="A373" s="62">
        <f>IF(AND(Data!R203&lt;&gt;"",Data!L203="Accept&amp;#233;"),Data!G203,"")</f>
      </c>
      <c r="B373" s="62">
        <f>IF(AND(Data!R203&lt;&gt;"",Data!L203="Accept&amp;#233;"),Data!L203,"")</f>
      </c>
      <c r="C373" s="63">
        <f>IF(D373&lt;&gt;"","S"&amp;TEXT(WEEKNUM(D373),"00"),"")</f>
      </c>
      <c r="D373" s="42">
        <f>IF(AND(Data!Q203&lt;&gt;"",Data!L203="Accept&amp;#233;"),Data!Q203,"")</f>
        <v>25569.041666666668</v>
      </c>
      <c r="E373" s="64">
        <f>IF(AND(Data!R203&lt;&gt;"",Data!L203="Accept&amp;#233;"),Data!R203,"")</f>
      </c>
      <c r="F373" s="65">
        <f>IF(AND(Data!R203&lt;&gt;"",Data!L203="Accept&amp;#233;"),Data!S203,"")</f>
      </c>
      <c r="G373" s="66">
        <f>IF(Data!R203='Delivery Plan'!E373,Data!U203,"")</f>
      </c>
      <c r="H373" s="53"/>
      <c r="I373" s="63">
        <f>IF(J373&lt;&gt;"","S"&amp;TEXT(WEEKNUM(J373),"00"),"")</f>
      </c>
      <c r="J373" s="42">
        <f>IF(AND(E373=Data!R203,Data!AA203&lt;&gt;""),Data!AA203,"")</f>
        <v>25569.041666666668</v>
      </c>
      <c r="K373" s="67">
        <f>IF(AND(E373=Data!R203,Data!AE203&lt;&gt;""),Data!AE203,"")</f>
        <v>25569.041666666668</v>
      </c>
      <c r="L373" s="68">
        <f>IF(E373=Data!R215,Data!AI215,"")</f>
      </c>
      <c r="M373" s="68">
        <f>IF(E373=Data!R215,Data!AJ215,"")</f>
      </c>
      <c r="N373" s="69">
        <f>IF(AND(Data!R215&lt;&gt;"",Data!L215="Accept&amp;#233;"),Data!K215,"")</f>
      </c>
    </row>
    <row x14ac:dyDescent="0.25" r="374" customHeight="1" ht="19.5" hidden="1">
      <c r="A374" s="62">
        <f>IF(AND(Data!R204&lt;&gt;"",Data!L204="Accept&amp;#233;"),Data!G204,"")</f>
      </c>
      <c r="B374" s="62">
        <f>IF(AND(Data!R204&lt;&gt;"",Data!L204="Accept&amp;#233;"),Data!L204,"")</f>
      </c>
      <c r="C374" s="63">
        <f>IF(D374&lt;&gt;"","S"&amp;TEXT(WEEKNUM(D374),"00"),"")</f>
      </c>
      <c r="D374" s="42">
        <f>IF(AND(Data!Q204&lt;&gt;"",Data!L204="Accept&amp;#233;"),Data!Q204,"")</f>
        <v>25569.041666666668</v>
      </c>
      <c r="E374" s="64">
        <f>IF(AND(Data!R204&lt;&gt;"",Data!L204="Accept&amp;#233;"),Data!R204,"")</f>
      </c>
      <c r="F374" s="65">
        <f>IF(AND(Data!R204&lt;&gt;"",Data!L204="Accept&amp;#233;"),Data!S204,"")</f>
      </c>
      <c r="G374" s="66">
        <f>IF(Data!R204='Delivery Plan'!E374,Data!U204,"")</f>
      </c>
      <c r="H374" s="53"/>
      <c r="I374" s="63">
        <f>IF(J374&lt;&gt;"","S"&amp;TEXT(WEEKNUM(J374),"00"),"")</f>
      </c>
      <c r="J374" s="42">
        <f>IF(AND(E374=Data!R204,Data!AA204&lt;&gt;""),Data!AA204,"")</f>
        <v>25569.041666666668</v>
      </c>
      <c r="K374" s="67">
        <f>IF(AND(E374=Data!R204,Data!AE204&lt;&gt;""),Data!AE204,"")</f>
        <v>25569.041666666668</v>
      </c>
      <c r="L374" s="68">
        <f>IF(E374=Data!R216,Data!AI216,"")</f>
      </c>
      <c r="M374" s="68">
        <f>IF(E374=Data!R216,Data!AJ216,"")</f>
      </c>
      <c r="N374" s="69">
        <f>IF(AND(Data!R216&lt;&gt;"",Data!L216="Accept&amp;#233;"),Data!K216,"")</f>
      </c>
    </row>
    <row x14ac:dyDescent="0.25" r="375" customHeight="1" ht="19.5" hidden="1">
      <c r="A375" s="62">
        <f>IF(AND(Data!R205&lt;&gt;"",Data!L205="Accept&amp;#233;"),Data!G205,"")</f>
      </c>
      <c r="B375" s="62">
        <f>IF(AND(Data!R205&lt;&gt;"",Data!L205="Accept&amp;#233;"),Data!L205,"")</f>
      </c>
      <c r="C375" s="63">
        <f>IF(D375&lt;&gt;"","S"&amp;TEXT(WEEKNUM(D375),"00"),"")</f>
      </c>
      <c r="D375" s="42">
        <f>IF(AND(Data!Q205&lt;&gt;"",Data!L205="Accept&amp;#233;"),Data!Q205,"")</f>
        <v>25569.041666666668</v>
      </c>
      <c r="E375" s="64">
        <f>IF(AND(Data!R205&lt;&gt;"",Data!L205="Accept&amp;#233;"),Data!R205,"")</f>
      </c>
      <c r="F375" s="65">
        <f>IF(AND(Data!R205&lt;&gt;"",Data!L205="Accept&amp;#233;"),Data!S205,"")</f>
      </c>
      <c r="G375" s="66">
        <f>IF(Data!R205='Delivery Plan'!E375,Data!U205,"")</f>
      </c>
      <c r="H375" s="53"/>
      <c r="I375" s="63">
        <f>IF(J375&lt;&gt;"","S"&amp;TEXT(WEEKNUM(J375),"00"),"")</f>
      </c>
      <c r="J375" s="42">
        <f>IF(AND(E375=Data!R205,Data!AA205&lt;&gt;""),Data!AA205,"")</f>
        <v>25569.041666666668</v>
      </c>
      <c r="K375" s="67">
        <f>IF(AND(E375=Data!R205,Data!AE205&lt;&gt;""),Data!AE205,"")</f>
        <v>25569.041666666668</v>
      </c>
      <c r="L375" s="68">
        <f>IF(E375=Data!R217,Data!AI217,"")</f>
      </c>
      <c r="M375" s="68">
        <f>IF(E375=Data!R217,Data!AJ217,"")</f>
      </c>
      <c r="N375" s="69">
        <f>IF(AND(Data!R217&lt;&gt;"",Data!L217="Accept&amp;#233;"),Data!K217,"")</f>
      </c>
    </row>
    <row x14ac:dyDescent="0.25" r="376" customHeight="1" ht="19.5" hidden="1">
      <c r="A376" s="62">
        <f>IF(AND(Data!R206&lt;&gt;"",Data!L206="Accept&amp;#233;"),Data!G206,"")</f>
      </c>
      <c r="B376" s="62">
        <f>IF(AND(Data!R206&lt;&gt;"",Data!L206="Accept&amp;#233;"),Data!L206,"")</f>
      </c>
      <c r="C376" s="63">
        <f>IF(D376&lt;&gt;"","S"&amp;TEXT(WEEKNUM(D376),"00"),"")</f>
      </c>
      <c r="D376" s="42">
        <f>IF(AND(Data!Q206&lt;&gt;"",Data!L206="Accept&amp;#233;"),Data!Q206,"")</f>
        <v>25569.041666666668</v>
      </c>
      <c r="E376" s="64">
        <f>IF(AND(Data!R206&lt;&gt;"",Data!L206="Accept&amp;#233;"),Data!R206,"")</f>
      </c>
      <c r="F376" s="65">
        <f>IF(AND(Data!R206&lt;&gt;"",Data!L206="Accept&amp;#233;"),Data!S206,"")</f>
      </c>
      <c r="G376" s="66">
        <f>IF(Data!R206='Delivery Plan'!E376,Data!U206,"")</f>
      </c>
      <c r="H376" s="53"/>
      <c r="I376" s="63">
        <f>IF(J376&lt;&gt;"","S"&amp;TEXT(WEEKNUM(J376),"00"),"")</f>
      </c>
      <c r="J376" s="42">
        <f>IF(AND(E376=Data!R206,Data!AA206&lt;&gt;""),Data!AA206,"")</f>
        <v>25569.041666666668</v>
      </c>
      <c r="K376" s="67">
        <f>IF(AND(E376=Data!R206,Data!AE206&lt;&gt;""),Data!AE206,"")</f>
        <v>25569.041666666668</v>
      </c>
      <c r="L376" s="68">
        <f>IF(E376=Data!R218,Data!AI218,"")</f>
      </c>
      <c r="M376" s="68">
        <f>IF(E376=Data!R218,Data!AJ218,"")</f>
      </c>
      <c r="N376" s="69">
        <f>IF(AND(Data!R218&lt;&gt;"",Data!L218="Accept&amp;#233;"),Data!K218,"")</f>
      </c>
    </row>
    <row x14ac:dyDescent="0.25" r="377" customHeight="1" ht="19.5" hidden="1">
      <c r="A377" s="62">
        <f>IF(AND(Data!R207&lt;&gt;"",Data!L207="Accept&amp;#233;"),Data!G207,"")</f>
      </c>
      <c r="B377" s="62">
        <f>IF(AND(Data!R207&lt;&gt;"",Data!L207="Accept&amp;#233;"),Data!L207,"")</f>
      </c>
      <c r="C377" s="63">
        <f>IF(D377&lt;&gt;"","S"&amp;TEXT(WEEKNUM(D377),"00"),"")</f>
      </c>
      <c r="D377" s="42">
        <f>IF(AND(Data!Q207&lt;&gt;"",Data!L207="Accept&amp;#233;"),Data!Q207,"")</f>
        <v>25569.041666666668</v>
      </c>
      <c r="E377" s="64">
        <f>IF(AND(Data!R207&lt;&gt;"",Data!L207="Accept&amp;#233;"),Data!R207,"")</f>
      </c>
      <c r="F377" s="65">
        <f>IF(AND(Data!R207&lt;&gt;"",Data!L207="Accept&amp;#233;"),Data!S207,"")</f>
      </c>
      <c r="G377" s="66">
        <f>IF(Data!R207='Delivery Plan'!E377,Data!U207,"")</f>
      </c>
      <c r="H377" s="53"/>
      <c r="I377" s="63">
        <f>IF(J377&lt;&gt;"","S"&amp;TEXT(WEEKNUM(J377),"00"),"")</f>
      </c>
      <c r="J377" s="42">
        <f>IF(AND(E377=Data!R207,Data!AA207&lt;&gt;""),Data!AA207,"")</f>
        <v>25569.041666666668</v>
      </c>
      <c r="K377" s="67">
        <f>IF(AND(E377=Data!R207,Data!AE207&lt;&gt;""),Data!AE207,"")</f>
        <v>25569.041666666668</v>
      </c>
      <c r="L377" s="68">
        <f>IF(E377=Data!R219,Data!AI219,"")</f>
      </c>
      <c r="M377" s="68">
        <f>IF(E377=Data!R219,Data!AJ219,"")</f>
      </c>
      <c r="N377" s="69">
        <f>IF(AND(Data!R219&lt;&gt;"",Data!L219="Accept&amp;#233;"),Data!K219,"")</f>
      </c>
    </row>
    <row x14ac:dyDescent="0.25" r="378" customHeight="1" ht="19.5" hidden="1">
      <c r="A378" s="62">
        <f>IF(AND(Data!R208&lt;&gt;"",Data!L208="Accept&amp;#233;"),Data!G208,"")</f>
      </c>
      <c r="B378" s="62">
        <f>IF(AND(Data!R208&lt;&gt;"",Data!L208="Accept&amp;#233;"),Data!L208,"")</f>
      </c>
      <c r="C378" s="63">
        <f>IF(D378&lt;&gt;"","S"&amp;TEXT(WEEKNUM(D378),"00"),"")</f>
      </c>
      <c r="D378" s="42">
        <f>IF(AND(Data!Q208&lt;&gt;"",Data!L208="Accept&amp;#233;"),Data!Q208,"")</f>
        <v>25569.041666666668</v>
      </c>
      <c r="E378" s="64">
        <f>IF(AND(Data!R208&lt;&gt;"",Data!L208="Accept&amp;#233;"),Data!R208,"")</f>
      </c>
      <c r="F378" s="65">
        <f>IF(AND(Data!R208&lt;&gt;"",Data!L208="Accept&amp;#233;"),Data!S208,"")</f>
      </c>
      <c r="G378" s="66">
        <f>IF(Data!R208='Delivery Plan'!E378,Data!U208,"")</f>
      </c>
      <c r="H378" s="53"/>
      <c r="I378" s="63">
        <f>IF(J378&lt;&gt;"","S"&amp;TEXT(WEEKNUM(J378),"00"),"")</f>
      </c>
      <c r="J378" s="42">
        <f>IF(AND(E378=Data!R208,Data!AA208&lt;&gt;""),Data!AA208,"")</f>
        <v>25569.041666666668</v>
      </c>
      <c r="K378" s="67">
        <f>IF(AND(E378=Data!R208,Data!AE208&lt;&gt;""),Data!AE208,"")</f>
        <v>25569.041666666668</v>
      </c>
      <c r="L378" s="68">
        <f>IF(E378=Data!R220,Data!AI220,"")</f>
      </c>
      <c r="M378" s="68">
        <f>IF(E378=Data!R220,Data!AJ220,"")</f>
      </c>
      <c r="N378" s="69">
        <f>IF(AND(Data!R220&lt;&gt;"",Data!L220="Accept&amp;#233;"),Data!K220,"")</f>
      </c>
    </row>
    <row x14ac:dyDescent="0.25" r="379" customHeight="1" ht="19.5" hidden="1">
      <c r="A379" s="62">
        <f>IF(AND(Data!R209&lt;&gt;"",Data!L209="Accept&amp;#233;"),Data!G209,"")</f>
      </c>
      <c r="B379" s="62">
        <f>IF(AND(Data!R209&lt;&gt;"",Data!L209="Accept&amp;#233;"),Data!L209,"")</f>
      </c>
      <c r="C379" s="63">
        <f>IF(D379&lt;&gt;"","S"&amp;TEXT(WEEKNUM(D379),"00"),"")</f>
      </c>
      <c r="D379" s="42">
        <f>IF(AND(Data!Q209&lt;&gt;"",Data!L209="Accept&amp;#233;"),Data!Q209,"")</f>
        <v>25569.041666666668</v>
      </c>
      <c r="E379" s="64">
        <f>IF(AND(Data!R209&lt;&gt;"",Data!L209="Accept&amp;#233;"),Data!R209,"")</f>
      </c>
      <c r="F379" s="65">
        <f>IF(AND(Data!R209&lt;&gt;"",Data!L209="Accept&amp;#233;"),Data!S209,"")</f>
      </c>
      <c r="G379" s="66">
        <f>IF(Data!R209='Delivery Plan'!E379,Data!U209,"")</f>
      </c>
      <c r="H379" s="53"/>
      <c r="I379" s="63">
        <f>IF(J379&lt;&gt;"","S"&amp;TEXT(WEEKNUM(J379),"00"),"")</f>
      </c>
      <c r="J379" s="42">
        <f>IF(AND(E379=Data!R209,Data!AA209&lt;&gt;""),Data!AA209,"")</f>
        <v>25569.041666666668</v>
      </c>
      <c r="K379" s="67">
        <f>IF(AND(E379=Data!R209,Data!AE209&lt;&gt;""),Data!AE209,"")</f>
        <v>25569.041666666668</v>
      </c>
      <c r="L379" s="68">
        <f>IF(E379=Data!R221,Data!AI221,"")</f>
      </c>
      <c r="M379" s="68">
        <f>IF(E379=Data!R221,Data!AJ221,"")</f>
      </c>
      <c r="N379" s="69">
        <f>IF(AND(Data!R221&lt;&gt;"",Data!L221="Accept&amp;#233;"),Data!K221,"")</f>
      </c>
    </row>
    <row x14ac:dyDescent="0.25" r="380" customHeight="1" ht="19.5" hidden="1">
      <c r="A380" s="62">
        <f>IF(AND(Data!R210&lt;&gt;"",Data!L210="Accept&amp;#233;"),Data!G210,"")</f>
      </c>
      <c r="B380" s="62">
        <f>IF(AND(Data!R210&lt;&gt;"",Data!L210="Accept&amp;#233;"),Data!L210,"")</f>
      </c>
      <c r="C380" s="63">
        <f>IF(D380&lt;&gt;"","S"&amp;TEXT(WEEKNUM(D380),"00"),"")</f>
      </c>
      <c r="D380" s="42">
        <f>IF(AND(Data!Q210&lt;&gt;"",Data!L210="Accept&amp;#233;"),Data!Q210,"")</f>
        <v>25569.041666666668</v>
      </c>
      <c r="E380" s="64">
        <f>IF(AND(Data!R210&lt;&gt;"",Data!L210="Accept&amp;#233;"),Data!R210,"")</f>
      </c>
      <c r="F380" s="65">
        <f>IF(AND(Data!R210&lt;&gt;"",Data!L210="Accept&amp;#233;"),Data!S210,"")</f>
      </c>
      <c r="G380" s="66">
        <f>IF(Data!R210='Delivery Plan'!E380,Data!U210,"")</f>
      </c>
      <c r="H380" s="53"/>
      <c r="I380" s="63">
        <f>IF(J380&lt;&gt;"","S"&amp;TEXT(WEEKNUM(J380),"00"),"")</f>
      </c>
      <c r="J380" s="42">
        <f>IF(AND(E380=Data!R210,Data!AA210&lt;&gt;""),Data!AA210,"")</f>
        <v>25569.041666666668</v>
      </c>
      <c r="K380" s="67">
        <f>IF(AND(E380=Data!R210,Data!AE210&lt;&gt;""),Data!AE210,"")</f>
        <v>25569.041666666668</v>
      </c>
      <c r="L380" s="68">
        <f>IF(E380=Data!R222,Data!AI222,"")</f>
      </c>
      <c r="M380" s="68">
        <f>IF(E380=Data!R222,Data!AJ222,"")</f>
      </c>
      <c r="N380" s="69">
        <f>IF(AND(Data!R222&lt;&gt;"",Data!L222="Accept&amp;#233;"),Data!K222,"")</f>
      </c>
    </row>
    <row x14ac:dyDescent="0.25" r="381" customHeight="1" ht="19.5" hidden="1">
      <c r="A381" s="62">
        <f>IF(AND(Data!R211&lt;&gt;"",Data!L211="Accept&amp;#233;"),Data!G211,"")</f>
      </c>
      <c r="B381" s="62">
        <f>IF(AND(Data!R211&lt;&gt;"",Data!L211="Accept&amp;#233;"),Data!L211,"")</f>
      </c>
      <c r="C381" s="63">
        <f>IF(D381&lt;&gt;"","S"&amp;TEXT(WEEKNUM(D381),"00"),"")</f>
      </c>
      <c r="D381" s="42">
        <f>IF(AND(Data!Q211&lt;&gt;"",Data!L211="Accept&amp;#233;"),Data!Q211,"")</f>
        <v>25569.041666666668</v>
      </c>
      <c r="E381" s="64">
        <f>IF(AND(Data!R211&lt;&gt;"",Data!L211="Accept&amp;#233;"),Data!R211,"")</f>
      </c>
      <c r="F381" s="65">
        <f>IF(AND(Data!R211&lt;&gt;"",Data!L211="Accept&amp;#233;"),Data!S211,"")</f>
      </c>
      <c r="G381" s="66">
        <f>IF(Data!R211='Delivery Plan'!E381,Data!U211,"")</f>
      </c>
      <c r="H381" s="53"/>
      <c r="I381" s="63">
        <f>IF(J381&lt;&gt;"","S"&amp;TEXT(WEEKNUM(J381),"00"),"")</f>
      </c>
      <c r="J381" s="42">
        <f>IF(AND(E381=Data!R211,Data!AA211&lt;&gt;""),Data!AA211,"")</f>
        <v>25569.041666666668</v>
      </c>
      <c r="K381" s="67">
        <f>IF(AND(E381=Data!R211,Data!AE211&lt;&gt;""),Data!AE211,"")</f>
        <v>25569.041666666668</v>
      </c>
      <c r="L381" s="68">
        <f>IF(E381=Data!R223,Data!AI223,"")</f>
      </c>
      <c r="M381" s="68">
        <f>IF(E381=Data!R223,Data!AJ223,"")</f>
      </c>
      <c r="N381" s="69">
        <f>IF(AND(Data!R223&lt;&gt;"",Data!L223="Accept&amp;#233;"),Data!K223,"")</f>
      </c>
    </row>
    <row x14ac:dyDescent="0.25" r="382" customHeight="1" ht="19.5" hidden="1">
      <c r="A382" s="62">
        <f>IF(AND(Data!R212&lt;&gt;"",Data!L212="Accept&amp;#233;"),Data!G212,"")</f>
      </c>
      <c r="B382" s="62">
        <f>IF(AND(Data!R212&lt;&gt;"",Data!L212="Accept&amp;#233;"),Data!L212,"")</f>
      </c>
      <c r="C382" s="63">
        <f>IF(D382&lt;&gt;"","S"&amp;TEXT(WEEKNUM(D382),"00"),"")</f>
      </c>
      <c r="D382" s="42">
        <f>IF(AND(Data!Q212&lt;&gt;"",Data!L212="Accept&amp;#233;"),Data!Q212,"")</f>
        <v>25569.041666666668</v>
      </c>
      <c r="E382" s="64">
        <f>IF(AND(Data!R212&lt;&gt;"",Data!L212="Accept&amp;#233;"),Data!R212,"")</f>
      </c>
      <c r="F382" s="65">
        <f>IF(AND(Data!R212&lt;&gt;"",Data!L212="Accept&amp;#233;"),Data!S212,"")</f>
      </c>
      <c r="G382" s="66">
        <f>IF(Data!R212='Delivery Plan'!E382,Data!U212,"")</f>
      </c>
      <c r="H382" s="53"/>
      <c r="I382" s="63">
        <f>IF(J382&lt;&gt;"","S"&amp;TEXT(WEEKNUM(J382),"00"),"")</f>
      </c>
      <c r="J382" s="42">
        <f>IF(AND(E382=Data!R212,Data!AA212&lt;&gt;""),Data!AA212,"")</f>
        <v>25569.041666666668</v>
      </c>
      <c r="K382" s="67">
        <f>IF(AND(E382=Data!R212,Data!AE212&lt;&gt;""),Data!AE212,"")</f>
        <v>25569.041666666668</v>
      </c>
      <c r="L382" s="68">
        <f>IF(E382=Data!R224,Data!AI224,"")</f>
      </c>
      <c r="M382" s="68">
        <f>IF(E382=Data!R224,Data!AJ224,"")</f>
      </c>
      <c r="N382" s="69">
        <f>IF(AND(Data!R224&lt;&gt;"",Data!L224="Accept&amp;#233;"),Data!K224,"")</f>
      </c>
    </row>
    <row x14ac:dyDescent="0.25" r="383" customHeight="1" ht="19.5" hidden="1">
      <c r="A383" s="62">
        <f>IF(AND(Data!R213&lt;&gt;"",Data!L213="Accept&amp;#233;"),Data!G213,"")</f>
      </c>
      <c r="B383" s="62">
        <f>IF(AND(Data!R213&lt;&gt;"",Data!L213="Accept&amp;#233;"),Data!L213,"")</f>
      </c>
      <c r="C383" s="63">
        <f>IF(D383&lt;&gt;"","S"&amp;TEXT(WEEKNUM(D383),"00"),"")</f>
      </c>
      <c r="D383" s="42">
        <f>IF(AND(Data!Q213&lt;&gt;"",Data!L213="Accept&amp;#233;"),Data!Q213,"")</f>
        <v>25569.041666666668</v>
      </c>
      <c r="E383" s="64">
        <f>IF(AND(Data!R213&lt;&gt;"",Data!L213="Accept&amp;#233;"),Data!R213,"")</f>
      </c>
      <c r="F383" s="65">
        <f>IF(AND(Data!R213&lt;&gt;"",Data!L213="Accept&amp;#233;"),Data!S213,"")</f>
      </c>
      <c r="G383" s="66">
        <f>IF(Data!R213='Delivery Plan'!E383,Data!U213,"")</f>
      </c>
      <c r="H383" s="53"/>
      <c r="I383" s="63">
        <f>IF(J383&lt;&gt;"","S"&amp;TEXT(WEEKNUM(J383),"00"),"")</f>
      </c>
      <c r="J383" s="42">
        <f>IF(AND(E383=Data!R213,Data!AA213&lt;&gt;""),Data!AA213,"")</f>
        <v>25569.041666666668</v>
      </c>
      <c r="K383" s="67">
        <f>IF(AND(E383=Data!R213,Data!AE213&lt;&gt;""),Data!AE213,"")</f>
        <v>25569.041666666668</v>
      </c>
      <c r="L383" s="68">
        <f>IF(E383=Data!R225,Data!AI225,"")</f>
      </c>
      <c r="M383" s="68">
        <f>IF(E383=Data!R225,Data!AJ225,"")</f>
      </c>
      <c r="N383" s="69">
        <f>IF(AND(Data!R225&lt;&gt;"",Data!L225="Accept&amp;#233;"),Data!K225,"")</f>
      </c>
    </row>
    <row x14ac:dyDescent="0.25" r="384" customHeight="1" ht="19.5" hidden="1">
      <c r="A384" s="62">
        <f>IF(AND(Data!R214&lt;&gt;"",Data!L214="Accept&amp;#233;"),Data!G214,"")</f>
      </c>
      <c r="B384" s="62">
        <f>IF(AND(Data!R214&lt;&gt;"",Data!L214="Accept&amp;#233;"),Data!L214,"")</f>
      </c>
      <c r="C384" s="63">
        <f>IF(D384&lt;&gt;"","S"&amp;TEXT(WEEKNUM(D384),"00"),"")</f>
      </c>
      <c r="D384" s="42">
        <f>IF(AND(Data!Q214&lt;&gt;"",Data!L214="Accept&amp;#233;"),Data!Q214,"")</f>
        <v>25569.041666666668</v>
      </c>
      <c r="E384" s="64">
        <f>IF(AND(Data!R214&lt;&gt;"",Data!L214="Accept&amp;#233;"),Data!R214,"")</f>
      </c>
      <c r="F384" s="65">
        <f>IF(AND(Data!R214&lt;&gt;"",Data!L214="Accept&amp;#233;"),Data!S214,"")</f>
      </c>
      <c r="G384" s="66">
        <f>IF(Data!R214='Delivery Plan'!E384,Data!U214,"")</f>
      </c>
      <c r="H384" s="53"/>
      <c r="I384" s="63">
        <f>IF(J384&lt;&gt;"","S"&amp;TEXT(WEEKNUM(J384),"00"),"")</f>
      </c>
      <c r="J384" s="42">
        <f>IF(AND(E384=Data!R214,Data!AA214&lt;&gt;""),Data!AA214,"")</f>
        <v>25569.041666666668</v>
      </c>
      <c r="K384" s="67">
        <f>IF(AND(E384=Data!R214,Data!AE214&lt;&gt;""),Data!AE214,"")</f>
        <v>25569.041666666668</v>
      </c>
      <c r="L384" s="68">
        <f>IF(E384=Data!R226,Data!AI226,"")</f>
      </c>
      <c r="M384" s="68">
        <f>IF(E384=Data!R226,Data!AJ226,"")</f>
      </c>
      <c r="N384" s="69">
        <f>IF(AND(Data!R226&lt;&gt;"",Data!L226="Accept&amp;#233;"),Data!K226,"")</f>
      </c>
    </row>
    <row x14ac:dyDescent="0.25" r="385" customHeight="1" ht="19.5" hidden="1">
      <c r="A385" s="62">
        <f>IF(AND(Data!R215&lt;&gt;"",Data!L215="Accept&amp;#233;"),Data!G215,"")</f>
      </c>
      <c r="B385" s="62">
        <f>IF(AND(Data!R215&lt;&gt;"",Data!L215="Accept&amp;#233;"),Data!L215,"")</f>
      </c>
      <c r="C385" s="63">
        <f>IF(D385&lt;&gt;"","S"&amp;TEXT(WEEKNUM(D385),"00"),"")</f>
      </c>
      <c r="D385" s="42">
        <f>IF(AND(Data!Q215&lt;&gt;"",Data!L215="Accept&amp;#233;"),Data!Q215,"")</f>
        <v>25569.041666666668</v>
      </c>
      <c r="E385" s="64">
        <f>IF(AND(Data!R215&lt;&gt;"",Data!L215="Accept&amp;#233;"),Data!R215,"")</f>
      </c>
      <c r="F385" s="65">
        <f>IF(AND(Data!R215&lt;&gt;"",Data!L215="Accept&amp;#233;"),Data!S215,"")</f>
      </c>
      <c r="G385" s="66">
        <f>IF(Data!R215='Delivery Plan'!E385,Data!U215,"")</f>
      </c>
      <c r="H385" s="53"/>
      <c r="I385" s="63">
        <f>IF(J385&lt;&gt;"","S"&amp;TEXT(WEEKNUM(J385),"00"),"")</f>
      </c>
      <c r="J385" s="42">
        <f>IF(AND(E385=Data!R215,Data!AA215&lt;&gt;""),Data!AA215,"")</f>
        <v>25569.041666666668</v>
      </c>
      <c r="K385" s="67">
        <f>IF(AND(E385=Data!R215,Data!AE215&lt;&gt;""),Data!AE215,"")</f>
        <v>25569.041666666668</v>
      </c>
      <c r="L385" s="68">
        <f>IF(E385=Data!R227,Data!AI227,"")</f>
      </c>
      <c r="M385" s="68">
        <f>IF(E385=Data!R227,Data!AJ227,"")</f>
      </c>
      <c r="N385" s="69">
        <f>IF(AND(Data!R227&lt;&gt;"",Data!L227="Accept&amp;#233;"),Data!K227,"")</f>
      </c>
    </row>
    <row x14ac:dyDescent="0.25" r="386" customHeight="1" ht="19.5" hidden="1">
      <c r="A386" s="62">
        <f>IF(AND(Data!R216&lt;&gt;"",Data!L216="Accept&amp;#233;"),Data!G216,"")</f>
      </c>
      <c r="B386" s="62">
        <f>IF(AND(Data!R216&lt;&gt;"",Data!L216="Accept&amp;#233;"),Data!L216,"")</f>
      </c>
      <c r="C386" s="63">
        <f>IF(D386&lt;&gt;"","S"&amp;TEXT(WEEKNUM(D386),"00"),"")</f>
      </c>
      <c r="D386" s="42">
        <f>IF(AND(Data!Q216&lt;&gt;"",Data!L216="Accept&amp;#233;"),Data!Q216,"")</f>
        <v>25569.041666666668</v>
      </c>
      <c r="E386" s="64">
        <f>IF(AND(Data!R216&lt;&gt;"",Data!L216="Accept&amp;#233;"),Data!R216,"")</f>
      </c>
      <c r="F386" s="65">
        <f>IF(AND(Data!R216&lt;&gt;"",Data!L216="Accept&amp;#233;"),Data!S216,"")</f>
      </c>
      <c r="G386" s="66">
        <f>IF(Data!R216='Delivery Plan'!E386,Data!U216,"")</f>
      </c>
      <c r="H386" s="53"/>
      <c r="I386" s="63">
        <f>IF(J386&lt;&gt;"","S"&amp;TEXT(WEEKNUM(J386),"00"),"")</f>
      </c>
      <c r="J386" s="42">
        <f>IF(AND(E386=Data!R216,Data!AA216&lt;&gt;""),Data!AA216,"")</f>
        <v>25569.041666666668</v>
      </c>
      <c r="K386" s="67">
        <f>IF(AND(E386=Data!R216,Data!AE216&lt;&gt;""),Data!AE216,"")</f>
        <v>25569.041666666668</v>
      </c>
      <c r="L386" s="68">
        <f>IF(E386=Data!R228,Data!AI228,"")</f>
      </c>
      <c r="M386" s="68">
        <f>IF(E386=Data!R228,Data!AJ228,"")</f>
      </c>
      <c r="N386" s="69">
        <f>IF(AND(Data!R228&lt;&gt;"",Data!L228="Accept&amp;#233;"),Data!K228,"")</f>
      </c>
    </row>
    <row x14ac:dyDescent="0.25" r="387" customHeight="1" ht="19.5" hidden="1">
      <c r="A387" s="62">
        <f>IF(AND(Data!R217&lt;&gt;"",Data!L217="Accept&amp;#233;"),Data!G217,"")</f>
      </c>
      <c r="B387" s="62">
        <f>IF(AND(Data!R217&lt;&gt;"",Data!L217="Accept&amp;#233;"),Data!L217,"")</f>
      </c>
      <c r="C387" s="63">
        <f>IF(D387&lt;&gt;"","S"&amp;TEXT(WEEKNUM(D387),"00"),"")</f>
      </c>
      <c r="D387" s="42">
        <f>IF(AND(Data!Q217&lt;&gt;"",Data!L217="Accept&amp;#233;"),Data!Q217,"")</f>
        <v>25569.041666666668</v>
      </c>
      <c r="E387" s="64">
        <f>IF(AND(Data!R217&lt;&gt;"",Data!L217="Accept&amp;#233;"),Data!R217,"")</f>
      </c>
      <c r="F387" s="65">
        <f>IF(AND(Data!R217&lt;&gt;"",Data!L217="Accept&amp;#233;"),Data!S217,"")</f>
      </c>
      <c r="G387" s="66">
        <f>IF(Data!R217='Delivery Plan'!E387,Data!U217,"")</f>
      </c>
      <c r="H387" s="53"/>
      <c r="I387" s="63">
        <f>IF(J387&lt;&gt;"","S"&amp;TEXT(WEEKNUM(J387),"00"),"")</f>
      </c>
      <c r="J387" s="42">
        <f>IF(AND(E387=Data!R217,Data!AA217&lt;&gt;""),Data!AA217,"")</f>
        <v>25569.041666666668</v>
      </c>
      <c r="K387" s="67">
        <f>IF(AND(E387=Data!R217,Data!AE217&lt;&gt;""),Data!AE217,"")</f>
        <v>25569.041666666668</v>
      </c>
      <c r="L387" s="68">
        <f>IF(E387=Data!R229,Data!AI229,"")</f>
      </c>
      <c r="M387" s="68">
        <f>IF(E387=Data!R229,Data!AJ229,"")</f>
      </c>
      <c r="N387" s="69">
        <f>IF(AND(Data!R229&lt;&gt;"",Data!L229="Accept&amp;#233;"),Data!K229,"")</f>
      </c>
    </row>
    <row x14ac:dyDescent="0.25" r="388" customHeight="1" ht="19.5" hidden="1">
      <c r="A388" s="62">
        <f>IF(AND(Data!R218&lt;&gt;"",Data!L218="Accept&amp;#233;"),Data!G218,"")</f>
      </c>
      <c r="B388" s="62">
        <f>IF(AND(Data!R218&lt;&gt;"",Data!L218="Accept&amp;#233;"),Data!L218,"")</f>
      </c>
      <c r="C388" s="63">
        <f>IF(D388&lt;&gt;"","S"&amp;TEXT(WEEKNUM(D388),"00"),"")</f>
      </c>
      <c r="D388" s="42">
        <f>IF(AND(Data!Q218&lt;&gt;"",Data!L218="Accept&amp;#233;"),Data!Q218,"")</f>
        <v>25569.041666666668</v>
      </c>
      <c r="E388" s="64">
        <f>IF(AND(Data!R218&lt;&gt;"",Data!L218="Accept&amp;#233;"),Data!R218,"")</f>
      </c>
      <c r="F388" s="65">
        <f>IF(AND(Data!R218&lt;&gt;"",Data!L218="Accept&amp;#233;"),Data!S218,"")</f>
      </c>
      <c r="G388" s="66">
        <f>IF(Data!R218='Delivery Plan'!E388,Data!U218,"")</f>
      </c>
      <c r="H388" s="53"/>
      <c r="I388" s="63">
        <f>IF(J388&lt;&gt;"","S"&amp;TEXT(WEEKNUM(J388),"00"),"")</f>
      </c>
      <c r="J388" s="42">
        <f>IF(AND(E388=Data!R218,Data!AA218&lt;&gt;""),Data!AA218,"")</f>
        <v>25569.041666666668</v>
      </c>
      <c r="K388" s="67">
        <f>IF(AND(E388=Data!R218,Data!AE218&lt;&gt;""),Data!AE218,"")</f>
        <v>25569.041666666668</v>
      </c>
      <c r="L388" s="68">
        <f>IF(E388=Data!R230,Data!AI230,"")</f>
      </c>
      <c r="M388" s="68">
        <f>IF(E388=Data!R230,Data!AJ230,"")</f>
      </c>
      <c r="N388" s="69">
        <f>IF(AND(Data!R230&lt;&gt;"",Data!L230="Accept&amp;#233;"),Data!K230,"")</f>
      </c>
    </row>
    <row x14ac:dyDescent="0.25" r="389" customHeight="1" ht="19.5" hidden="1">
      <c r="A389" s="62">
        <f>IF(AND(Data!R219&lt;&gt;"",Data!L219="Accept&amp;#233;"),Data!G219,"")</f>
      </c>
      <c r="B389" s="62">
        <f>IF(AND(Data!R219&lt;&gt;"",Data!L219="Accept&amp;#233;"),Data!L219,"")</f>
      </c>
      <c r="C389" s="63">
        <f>IF(D389&lt;&gt;"","S"&amp;TEXT(WEEKNUM(D389),"00"),"")</f>
      </c>
      <c r="D389" s="42">
        <f>IF(AND(Data!Q219&lt;&gt;"",Data!L219="Accept&amp;#233;"),Data!Q219,"")</f>
        <v>25569.041666666668</v>
      </c>
      <c r="E389" s="64">
        <f>IF(AND(Data!R219&lt;&gt;"",Data!L219="Accept&amp;#233;"),Data!R219,"")</f>
      </c>
      <c r="F389" s="65">
        <f>IF(AND(Data!R219&lt;&gt;"",Data!L219="Accept&amp;#233;"),Data!S219,"")</f>
      </c>
      <c r="G389" s="66">
        <f>IF(Data!R219='Delivery Plan'!E389,Data!U219,"")</f>
      </c>
      <c r="H389" s="53"/>
      <c r="I389" s="63">
        <f>IF(J389&lt;&gt;"","S"&amp;TEXT(WEEKNUM(J389),"00"),"")</f>
      </c>
      <c r="J389" s="42">
        <f>IF(AND(E389=Data!R219,Data!AA219&lt;&gt;""),Data!AA219,"")</f>
        <v>25569.041666666668</v>
      </c>
      <c r="K389" s="67">
        <f>IF(AND(E389=Data!R219,Data!AE219&lt;&gt;""),Data!AE219,"")</f>
        <v>25569.041666666668</v>
      </c>
      <c r="L389" s="68">
        <f>IF(E389=Data!R231,Data!AI231,"")</f>
      </c>
      <c r="M389" s="68">
        <f>IF(E389=Data!R231,Data!AJ231,"")</f>
      </c>
      <c r="N389" s="69">
        <f>IF(AND(Data!R231&lt;&gt;"",Data!L231="Accept&amp;#233;"),Data!K231,"")</f>
      </c>
    </row>
    <row x14ac:dyDescent="0.25" r="390" customHeight="1" ht="19.5" hidden="1">
      <c r="A390" s="62">
        <f>IF(AND(Data!R220&lt;&gt;"",Data!L220="Accept&amp;#233;"),Data!G220,"")</f>
      </c>
      <c r="B390" s="62">
        <f>IF(AND(Data!R220&lt;&gt;"",Data!L220="Accept&amp;#233;"),Data!L220,"")</f>
      </c>
      <c r="C390" s="63">
        <f>IF(D390&lt;&gt;"","S"&amp;TEXT(WEEKNUM(D390),"00"),"")</f>
      </c>
      <c r="D390" s="42">
        <f>IF(AND(Data!Q220&lt;&gt;"",Data!L220="Accept&amp;#233;"),Data!Q220,"")</f>
        <v>25569.041666666668</v>
      </c>
      <c r="E390" s="64">
        <f>IF(AND(Data!R220&lt;&gt;"",Data!L220="Accept&amp;#233;"),Data!R220,"")</f>
      </c>
      <c r="F390" s="65">
        <f>IF(AND(Data!R220&lt;&gt;"",Data!L220="Accept&amp;#233;"),Data!S220,"")</f>
      </c>
      <c r="G390" s="66">
        <f>IF(Data!R220='Delivery Plan'!E390,Data!U220,"")</f>
      </c>
      <c r="H390" s="53"/>
      <c r="I390" s="63">
        <f>IF(J390&lt;&gt;"","S"&amp;TEXT(WEEKNUM(J390),"00"),"")</f>
      </c>
      <c r="J390" s="42">
        <f>IF(AND(E390=Data!R220,Data!AA220&lt;&gt;""),Data!AA220,"")</f>
        <v>25569.041666666668</v>
      </c>
      <c r="K390" s="67">
        <f>IF(AND(E390=Data!R220,Data!AE220&lt;&gt;""),Data!AE220,"")</f>
        <v>25569.041666666668</v>
      </c>
      <c r="L390" s="68">
        <f>IF(E390=Data!R232,Data!AI232,"")</f>
      </c>
      <c r="M390" s="68">
        <f>IF(E390=Data!R232,Data!AJ232,"")</f>
      </c>
      <c r="N390" s="69">
        <f>IF(AND(Data!R232&lt;&gt;"",Data!L232="Accept&amp;#233;"),Data!K232,"")</f>
      </c>
    </row>
    <row x14ac:dyDescent="0.25" r="391" customHeight="1" ht="19.5" hidden="1">
      <c r="A391" s="62">
        <f>IF(AND(Data!R221&lt;&gt;"",Data!L221="Accept&amp;#233;"),Data!G221,"")</f>
      </c>
      <c r="B391" s="62">
        <f>IF(AND(Data!R221&lt;&gt;"",Data!L221="Accept&amp;#233;"),Data!L221,"")</f>
      </c>
      <c r="C391" s="63">
        <f>IF(D391&lt;&gt;"","S"&amp;TEXT(WEEKNUM(D391),"00"),"")</f>
      </c>
      <c r="D391" s="42">
        <f>IF(AND(Data!Q221&lt;&gt;"",Data!L221="Accept&amp;#233;"),Data!Q221,"")</f>
        <v>25569.041666666668</v>
      </c>
      <c r="E391" s="64">
        <f>IF(AND(Data!R221&lt;&gt;"",Data!L221="Accept&amp;#233;"),Data!R221,"")</f>
      </c>
      <c r="F391" s="65">
        <f>IF(AND(Data!R221&lt;&gt;"",Data!L221="Accept&amp;#233;"),Data!S221,"")</f>
      </c>
      <c r="G391" s="66">
        <f>IF(Data!R221='Delivery Plan'!E391,Data!U221,"")</f>
      </c>
      <c r="H391" s="53"/>
      <c r="I391" s="63">
        <f>IF(J391&lt;&gt;"","S"&amp;TEXT(WEEKNUM(J391),"00"),"")</f>
      </c>
      <c r="J391" s="42">
        <f>IF(AND(E391=Data!R221,Data!AA221&lt;&gt;""),Data!AA221,"")</f>
        <v>25569.041666666668</v>
      </c>
      <c r="K391" s="67">
        <f>IF(AND(E391=Data!R221,Data!AE221&lt;&gt;""),Data!AE221,"")</f>
        <v>25569.041666666668</v>
      </c>
      <c r="L391" s="68">
        <f>IF(E391=Data!R233,Data!AI233,"")</f>
      </c>
      <c r="M391" s="68">
        <f>IF(E391=Data!R233,Data!AJ233,"")</f>
      </c>
      <c r="N391" s="69">
        <f>IF(AND(Data!R233&lt;&gt;"",Data!L233="Accept&amp;#233;"),Data!K233,"")</f>
      </c>
    </row>
    <row x14ac:dyDescent="0.25" r="392" customHeight="1" ht="19.5" hidden="1">
      <c r="A392" s="62">
        <f>IF(AND(Data!R222&lt;&gt;"",Data!L222="Accept&amp;#233;"),Data!G222,"")</f>
      </c>
      <c r="B392" s="62">
        <f>IF(AND(Data!R222&lt;&gt;"",Data!L222="Accept&amp;#233;"),Data!L222,"")</f>
      </c>
      <c r="C392" s="63">
        <f>IF(D392&lt;&gt;"","S"&amp;TEXT(WEEKNUM(D392),"00"),"")</f>
      </c>
      <c r="D392" s="42">
        <f>IF(AND(Data!Q222&lt;&gt;"",Data!L222="Accept&amp;#233;"),Data!Q222,"")</f>
        <v>25569.041666666668</v>
      </c>
      <c r="E392" s="64">
        <f>IF(AND(Data!R222&lt;&gt;"",Data!L222="Accept&amp;#233;"),Data!R222,"")</f>
      </c>
      <c r="F392" s="65">
        <f>IF(AND(Data!R222&lt;&gt;"",Data!L222="Accept&amp;#233;"),Data!S222,"")</f>
      </c>
      <c r="G392" s="66">
        <f>IF(Data!R222='Delivery Plan'!E392,Data!U222,"")</f>
      </c>
      <c r="H392" s="53"/>
      <c r="I392" s="63">
        <f>IF(J392&lt;&gt;"","S"&amp;TEXT(WEEKNUM(J392),"00"),"")</f>
      </c>
      <c r="J392" s="42">
        <f>IF(AND(E392=Data!R222,Data!AA222&lt;&gt;""),Data!AA222,"")</f>
        <v>25569.041666666668</v>
      </c>
      <c r="K392" s="67">
        <f>IF(AND(E392=Data!R222,Data!AE222&lt;&gt;""),Data!AE222,"")</f>
        <v>25569.041666666668</v>
      </c>
      <c r="L392" s="68">
        <f>IF(E392=Data!R234,Data!AI234,"")</f>
      </c>
      <c r="M392" s="68">
        <f>IF(E392=Data!R234,Data!AJ234,"")</f>
      </c>
      <c r="N392" s="69">
        <f>IF(AND(Data!R234&lt;&gt;"",Data!L234="Accept&amp;#233;"),Data!K234,"")</f>
      </c>
    </row>
    <row x14ac:dyDescent="0.25" r="393" customHeight="1" ht="19.5" hidden="1">
      <c r="A393" s="62">
        <f>IF(AND(Data!R223&lt;&gt;"",Data!L223="Accept&amp;#233;"),Data!G223,"")</f>
      </c>
      <c r="B393" s="62">
        <f>IF(AND(Data!R223&lt;&gt;"",Data!L223="Accept&amp;#233;"),Data!L223,"")</f>
      </c>
      <c r="C393" s="63">
        <f>IF(D393&lt;&gt;"","S"&amp;TEXT(WEEKNUM(D393),"00"),"")</f>
      </c>
      <c r="D393" s="42">
        <f>IF(AND(Data!Q223&lt;&gt;"",Data!L223="Accept&amp;#233;"),Data!Q223,"")</f>
        <v>25569.041666666668</v>
      </c>
      <c r="E393" s="64">
        <f>IF(AND(Data!R223&lt;&gt;"",Data!L223="Accept&amp;#233;"),Data!R223,"")</f>
      </c>
      <c r="F393" s="65">
        <f>IF(AND(Data!R223&lt;&gt;"",Data!L223="Accept&amp;#233;"),Data!S223,"")</f>
      </c>
      <c r="G393" s="66">
        <f>IF(Data!R223='Delivery Plan'!E393,Data!U223,"")</f>
      </c>
      <c r="H393" s="53"/>
      <c r="I393" s="63">
        <f>IF(J393&lt;&gt;"","S"&amp;TEXT(WEEKNUM(J393),"00"),"")</f>
      </c>
      <c r="J393" s="42">
        <f>IF(AND(E393=Data!R223,Data!AA223&lt;&gt;""),Data!AA223,"")</f>
        <v>25569.041666666668</v>
      </c>
      <c r="K393" s="67">
        <f>IF(AND(E393=Data!R223,Data!AE223&lt;&gt;""),Data!AE223,"")</f>
        <v>25569.041666666668</v>
      </c>
      <c r="L393" s="68">
        <f>IF(E393=Data!R235,Data!AI235,"")</f>
      </c>
      <c r="M393" s="68">
        <f>IF(E393=Data!R235,Data!AJ235,"")</f>
      </c>
      <c r="N393" s="69">
        <f>IF(AND(Data!R235&lt;&gt;"",Data!L235="Accept&amp;#233;"),Data!K235,"")</f>
      </c>
    </row>
    <row x14ac:dyDescent="0.25" r="394" customHeight="1" ht="19.5" hidden="1">
      <c r="A394" s="62">
        <f>IF(AND(Data!R224&lt;&gt;"",Data!L224="Accept&amp;#233;"),Data!G224,"")</f>
      </c>
      <c r="B394" s="62">
        <f>IF(AND(Data!R224&lt;&gt;"",Data!L224="Accept&amp;#233;"),Data!L224,"")</f>
      </c>
      <c r="C394" s="63">
        <f>IF(D394&lt;&gt;"","S"&amp;TEXT(WEEKNUM(D394),"00"),"")</f>
      </c>
      <c r="D394" s="42">
        <f>IF(AND(Data!Q224&lt;&gt;"",Data!L224="Accept&amp;#233;"),Data!Q224,"")</f>
        <v>25569.041666666668</v>
      </c>
      <c r="E394" s="64">
        <f>IF(AND(Data!R224&lt;&gt;"",Data!L224="Accept&amp;#233;"),Data!R224,"")</f>
      </c>
      <c r="F394" s="65">
        <f>IF(AND(Data!R224&lt;&gt;"",Data!L224="Accept&amp;#233;"),Data!S224,"")</f>
      </c>
      <c r="G394" s="66">
        <f>IF(Data!R224='Delivery Plan'!E394,Data!U224,"")</f>
      </c>
      <c r="H394" s="53"/>
      <c r="I394" s="63">
        <f>IF(J394&lt;&gt;"","S"&amp;TEXT(WEEKNUM(J394),"00"),"")</f>
      </c>
      <c r="J394" s="42">
        <f>IF(AND(E394=Data!R224,Data!AA224&lt;&gt;""),Data!AA224,"")</f>
        <v>25569.041666666668</v>
      </c>
      <c r="K394" s="67">
        <f>IF(AND(E394=Data!R224,Data!AE224&lt;&gt;""),Data!AE224,"")</f>
        <v>25569.041666666668</v>
      </c>
      <c r="L394" s="68">
        <f>IF(E394=Data!R236,Data!AI236,"")</f>
      </c>
      <c r="M394" s="68">
        <f>IF(E394=Data!R236,Data!AJ236,"")</f>
      </c>
      <c r="N394" s="69">
        <f>IF(AND(Data!R236&lt;&gt;"",Data!L236="Accept&amp;#233;"),Data!K236,"")</f>
      </c>
    </row>
    <row x14ac:dyDescent="0.25" r="395" customHeight="1" ht="19.5" hidden="1">
      <c r="A395" s="62">
        <f>IF(AND(Data!R225&lt;&gt;"",Data!L225="Accept&amp;#233;"),Data!G225,"")</f>
      </c>
      <c r="B395" s="62">
        <f>IF(AND(Data!R225&lt;&gt;"",Data!L225="Accept&amp;#233;"),Data!L225,"")</f>
      </c>
      <c r="C395" s="63">
        <f>IF(D395&lt;&gt;"","S"&amp;TEXT(WEEKNUM(D395),"00"),"")</f>
      </c>
      <c r="D395" s="42">
        <f>IF(AND(Data!Q225&lt;&gt;"",Data!L225="Accept&amp;#233;"),Data!Q225,"")</f>
        <v>25569.041666666668</v>
      </c>
      <c r="E395" s="64">
        <f>IF(AND(Data!R225&lt;&gt;"",Data!L225="Accept&amp;#233;"),Data!R225,"")</f>
      </c>
      <c r="F395" s="65">
        <f>IF(AND(Data!R225&lt;&gt;"",Data!L225="Accept&amp;#233;"),Data!S225,"")</f>
      </c>
      <c r="G395" s="66">
        <f>IF(Data!R225='Delivery Plan'!E395,Data!U225,"")</f>
      </c>
      <c r="H395" s="53"/>
      <c r="I395" s="63">
        <f>IF(J395&lt;&gt;"","S"&amp;TEXT(WEEKNUM(J395),"00"),"")</f>
      </c>
      <c r="J395" s="42">
        <f>IF(AND(E395=Data!R225,Data!AA225&lt;&gt;""),Data!AA225,"")</f>
        <v>25569.041666666668</v>
      </c>
      <c r="K395" s="67">
        <f>IF(AND(E395=Data!R225,Data!AE225&lt;&gt;""),Data!AE225,"")</f>
        <v>25569.041666666668</v>
      </c>
      <c r="L395" s="68">
        <f>IF(E395=Data!R237,Data!AI237,"")</f>
      </c>
      <c r="M395" s="68">
        <f>IF(E395=Data!R237,Data!AJ237,"")</f>
      </c>
      <c r="N395" s="69">
        <f>IF(AND(Data!R237&lt;&gt;"",Data!L237="Accept&amp;#233;"),Data!K237,"")</f>
      </c>
    </row>
    <row x14ac:dyDescent="0.25" r="396" customHeight="1" ht="19.5" hidden="1">
      <c r="A396" s="62">
        <f>IF(AND(Data!R226&lt;&gt;"",Data!L226="Accept&amp;#233;"),Data!G226,"")</f>
      </c>
      <c r="B396" s="62">
        <f>IF(AND(Data!R226&lt;&gt;"",Data!L226="Accept&amp;#233;"),Data!L226,"")</f>
      </c>
      <c r="C396" s="63">
        <f>IF(D396&lt;&gt;"","S"&amp;TEXT(WEEKNUM(D396),"00"),"")</f>
      </c>
      <c r="D396" s="42">
        <f>IF(AND(Data!Q226&lt;&gt;"",Data!L226="Accept&amp;#233;"),Data!Q226,"")</f>
        <v>25569.041666666668</v>
      </c>
      <c r="E396" s="64">
        <f>IF(AND(Data!R226&lt;&gt;"",Data!L226="Accept&amp;#233;"),Data!R226,"")</f>
      </c>
      <c r="F396" s="65">
        <f>IF(AND(Data!R226&lt;&gt;"",Data!L226="Accept&amp;#233;"),Data!S226,"")</f>
      </c>
      <c r="G396" s="66">
        <f>IF(Data!R226='Delivery Plan'!E396,Data!U226,"")</f>
      </c>
      <c r="H396" s="53"/>
      <c r="I396" s="63">
        <f>IF(J396&lt;&gt;"","S"&amp;TEXT(WEEKNUM(J396),"00"),"")</f>
      </c>
      <c r="J396" s="42">
        <f>IF(AND(E396=Data!R226,Data!AA226&lt;&gt;""),Data!AA226,"")</f>
        <v>25569.041666666668</v>
      </c>
      <c r="K396" s="67">
        <f>IF(AND(E396=Data!R226,Data!AE226&lt;&gt;""),Data!AE226,"")</f>
        <v>25569.041666666668</v>
      </c>
      <c r="L396" s="68">
        <f>IF(E396=Data!R238,Data!AI238,"")</f>
      </c>
      <c r="M396" s="68">
        <f>IF(E396=Data!R238,Data!AJ238,"")</f>
      </c>
      <c r="N396" s="69">
        <f>IF(AND(Data!R238&lt;&gt;"",Data!L238="Accept&amp;#233;"),Data!K238,"")</f>
      </c>
    </row>
    <row x14ac:dyDescent="0.25" r="397" customHeight="1" ht="19.5" hidden="1">
      <c r="A397" s="62">
        <f>IF(AND(Data!R227&lt;&gt;"",Data!L227="Accept&amp;#233;"),Data!G227,"")</f>
      </c>
      <c r="B397" s="62">
        <f>IF(AND(Data!R227&lt;&gt;"",Data!L227="Accept&amp;#233;"),Data!L227,"")</f>
      </c>
      <c r="C397" s="63">
        <f>IF(D397&lt;&gt;"","S"&amp;TEXT(WEEKNUM(D397),"00"),"")</f>
      </c>
      <c r="D397" s="42">
        <f>IF(AND(Data!Q227&lt;&gt;"",Data!L227="Accept&amp;#233;"),Data!Q227,"")</f>
        <v>25569.041666666668</v>
      </c>
      <c r="E397" s="64">
        <f>IF(AND(Data!R227&lt;&gt;"",Data!L227="Accept&amp;#233;"),Data!R227,"")</f>
      </c>
      <c r="F397" s="65">
        <f>IF(AND(Data!R227&lt;&gt;"",Data!L227="Accept&amp;#233;"),Data!S227,"")</f>
      </c>
      <c r="G397" s="66">
        <f>IF(Data!R227='Delivery Plan'!E397,Data!U227,"")</f>
      </c>
      <c r="H397" s="53"/>
      <c r="I397" s="63">
        <f>IF(J397&lt;&gt;"","S"&amp;TEXT(WEEKNUM(J397),"00"),"")</f>
      </c>
      <c r="J397" s="42">
        <f>IF(AND(E397=Data!R227,Data!AA227&lt;&gt;""),Data!AA227,"")</f>
        <v>25569.041666666668</v>
      </c>
      <c r="K397" s="67">
        <f>IF(AND(E397=Data!R227,Data!AE227&lt;&gt;""),Data!AE227,"")</f>
        <v>25569.041666666668</v>
      </c>
      <c r="L397" s="68">
        <f>IF(E397=Data!R239,Data!AI239,"")</f>
      </c>
      <c r="M397" s="68">
        <f>IF(E397=Data!R239,Data!AJ239,"")</f>
      </c>
      <c r="N397" s="69">
        <f>IF(AND(Data!R239&lt;&gt;"",Data!L239="Accept&amp;#233;"),Data!K239,"")</f>
      </c>
    </row>
    <row x14ac:dyDescent="0.25" r="398" customHeight="1" ht="19.5" hidden="1">
      <c r="A398" s="62">
        <f>IF(AND(Data!R228&lt;&gt;"",Data!L228="Accept&amp;#233;"),Data!G228,"")</f>
      </c>
      <c r="B398" s="62">
        <f>IF(AND(Data!R228&lt;&gt;"",Data!L228="Accept&amp;#233;"),Data!L228,"")</f>
      </c>
      <c r="C398" s="63">
        <f>IF(D398&lt;&gt;"","S"&amp;TEXT(WEEKNUM(D398),"00"),"")</f>
      </c>
      <c r="D398" s="42">
        <f>IF(AND(Data!Q228&lt;&gt;"",Data!L228="Accept&amp;#233;"),Data!Q228,"")</f>
        <v>25569.041666666668</v>
      </c>
      <c r="E398" s="64">
        <f>IF(AND(Data!R228&lt;&gt;"",Data!L228="Accept&amp;#233;"),Data!R228,"")</f>
      </c>
      <c r="F398" s="65">
        <f>IF(AND(Data!R228&lt;&gt;"",Data!L228="Accept&amp;#233;"),Data!S228,"")</f>
      </c>
      <c r="G398" s="66">
        <f>IF(Data!R228='Delivery Plan'!E398,Data!U228,"")</f>
      </c>
      <c r="H398" s="53"/>
      <c r="I398" s="63">
        <f>IF(J398&lt;&gt;"","S"&amp;TEXT(WEEKNUM(J398),"00"),"")</f>
      </c>
      <c r="J398" s="42">
        <f>IF(AND(E398=Data!R228,Data!AA228&lt;&gt;""),Data!AA228,"")</f>
        <v>25569.041666666668</v>
      </c>
      <c r="K398" s="67">
        <f>IF(AND(E398=Data!R228,Data!AE228&lt;&gt;""),Data!AE228,"")</f>
        <v>25569.041666666668</v>
      </c>
      <c r="L398" s="68">
        <f>IF(E398=Data!R240,Data!AI240,"")</f>
      </c>
      <c r="M398" s="68">
        <f>IF(E398=Data!R240,Data!AJ240,"")</f>
      </c>
      <c r="N398" s="69">
        <f>IF(AND(Data!R240&lt;&gt;"",Data!L240="Accept&amp;#233;"),Data!K240,"")</f>
      </c>
    </row>
    <row x14ac:dyDescent="0.25" r="399" customHeight="1" ht="19.5" hidden="1">
      <c r="A399" s="62">
        <f>IF(AND(Data!R229&lt;&gt;"",Data!L229="Accept&amp;#233;"),Data!G229,"")</f>
      </c>
      <c r="B399" s="62">
        <f>IF(AND(Data!R229&lt;&gt;"",Data!L229="Accept&amp;#233;"),Data!L229,"")</f>
      </c>
      <c r="C399" s="63">
        <f>IF(D399&lt;&gt;"","S"&amp;TEXT(WEEKNUM(D399),"00"),"")</f>
      </c>
      <c r="D399" s="42">
        <f>IF(AND(Data!Q229&lt;&gt;"",Data!L229="Accept&amp;#233;"),Data!Q229,"")</f>
        <v>25569.041666666668</v>
      </c>
      <c r="E399" s="64">
        <f>IF(AND(Data!R229&lt;&gt;"",Data!L229="Accept&amp;#233;"),Data!R229,"")</f>
      </c>
      <c r="F399" s="65">
        <f>IF(AND(Data!R229&lt;&gt;"",Data!L229="Accept&amp;#233;"),Data!S229,"")</f>
      </c>
      <c r="G399" s="66">
        <f>IF(Data!R229='Delivery Plan'!E399,Data!U229,"")</f>
      </c>
      <c r="H399" s="53"/>
      <c r="I399" s="63">
        <f>IF(J399&lt;&gt;"","S"&amp;TEXT(WEEKNUM(J399),"00"),"")</f>
      </c>
      <c r="J399" s="42">
        <f>IF(AND(E399=Data!R229,Data!AA229&lt;&gt;""),Data!AA229,"")</f>
        <v>25569.041666666668</v>
      </c>
      <c r="K399" s="67">
        <f>IF(AND(E399=Data!R229,Data!AE229&lt;&gt;""),Data!AE229,"")</f>
        <v>25569.041666666668</v>
      </c>
      <c r="L399" s="68">
        <f>IF(E399=Data!R241,Data!AI241,"")</f>
      </c>
      <c r="M399" s="68">
        <f>IF(E399=Data!R241,Data!AJ241,"")</f>
      </c>
      <c r="N399" s="69">
        <f>IF(AND(Data!R241&lt;&gt;"",Data!L241="Accept&amp;#233;"),Data!K241,"")</f>
      </c>
    </row>
    <row x14ac:dyDescent="0.25" r="400" customHeight="1" ht="19.5" hidden="1">
      <c r="A400" s="62">
        <f>IF(AND(Data!R230&lt;&gt;"",Data!L230="Accept&amp;#233;"),Data!G230,"")</f>
      </c>
      <c r="B400" s="62">
        <f>IF(AND(Data!R230&lt;&gt;"",Data!L230="Accept&amp;#233;"),Data!L230,"")</f>
      </c>
      <c r="C400" s="63">
        <f>IF(D400&lt;&gt;"","S"&amp;TEXT(WEEKNUM(D400),"00"),"")</f>
      </c>
      <c r="D400" s="42">
        <f>IF(AND(Data!Q230&lt;&gt;"",Data!L230="Accept&amp;#233;"),Data!Q230,"")</f>
        <v>25569.041666666668</v>
      </c>
      <c r="E400" s="64">
        <f>IF(AND(Data!R230&lt;&gt;"",Data!L230="Accept&amp;#233;"),Data!R230,"")</f>
      </c>
      <c r="F400" s="65">
        <f>IF(AND(Data!R230&lt;&gt;"",Data!L230="Accept&amp;#233;"),Data!S230,"")</f>
      </c>
      <c r="G400" s="66">
        <f>IF(Data!R230='Delivery Plan'!E400,Data!U230,"")</f>
      </c>
      <c r="H400" s="53"/>
      <c r="I400" s="63">
        <f>IF(J400&lt;&gt;"","S"&amp;TEXT(WEEKNUM(J400),"00"),"")</f>
      </c>
      <c r="J400" s="42">
        <f>IF(AND(E400=Data!R230,Data!AA230&lt;&gt;""),Data!AA230,"")</f>
        <v>25569.041666666668</v>
      </c>
      <c r="K400" s="67">
        <f>IF(AND(E400=Data!R230,Data!AE230&lt;&gt;""),Data!AE230,"")</f>
        <v>25569.041666666668</v>
      </c>
      <c r="L400" s="68">
        <f>IF(E400=Data!R242,Data!AI242,"")</f>
      </c>
      <c r="M400" s="68">
        <f>IF(E400=Data!R242,Data!AJ242,"")</f>
      </c>
      <c r="N400" s="69">
        <f>IF(AND(Data!R242&lt;&gt;"",Data!L242="Accept&amp;#233;"),Data!K242,"")</f>
      </c>
    </row>
    <row x14ac:dyDescent="0.25" r="401" customHeight="1" ht="19.5" hidden="1">
      <c r="A401" s="62">
        <f>IF(AND(Data!R231&lt;&gt;"",Data!L231="Accept&amp;#233;"),Data!G231,"")</f>
      </c>
      <c r="B401" s="62">
        <f>IF(AND(Data!R231&lt;&gt;"",Data!L231="Accept&amp;#233;"),Data!L231,"")</f>
      </c>
      <c r="C401" s="63">
        <f>IF(D401&lt;&gt;"","S"&amp;TEXT(WEEKNUM(D401),"00"),"")</f>
      </c>
      <c r="D401" s="42">
        <f>IF(AND(Data!Q231&lt;&gt;"",Data!L231="Accept&amp;#233;"),Data!Q231,"")</f>
        <v>25569.041666666668</v>
      </c>
      <c r="E401" s="64">
        <f>IF(AND(Data!R231&lt;&gt;"",Data!L231="Accept&amp;#233;"),Data!R231,"")</f>
      </c>
      <c r="F401" s="65">
        <f>IF(AND(Data!R231&lt;&gt;"",Data!L231="Accept&amp;#233;"),Data!S231,"")</f>
      </c>
      <c r="G401" s="66">
        <f>IF(Data!R231='Delivery Plan'!E401,Data!U231,"")</f>
      </c>
      <c r="H401" s="53"/>
      <c r="I401" s="63">
        <f>IF(J401&lt;&gt;"","S"&amp;TEXT(WEEKNUM(J401),"00"),"")</f>
      </c>
      <c r="J401" s="42">
        <f>IF(AND(E401=Data!R231,Data!AA231&lt;&gt;""),Data!AA231,"")</f>
        <v>25569.041666666668</v>
      </c>
      <c r="K401" s="67">
        <f>IF(AND(E401=Data!R231,Data!AE231&lt;&gt;""),Data!AE231,"")</f>
        <v>25569.041666666668</v>
      </c>
      <c r="L401" s="68">
        <f>IF(E401=Data!R243,Data!AI243,"")</f>
      </c>
      <c r="M401" s="68">
        <f>IF(E401=Data!R243,Data!AJ243,"")</f>
      </c>
      <c r="N401" s="69">
        <f>IF(AND(Data!R243&lt;&gt;"",Data!L243="Accept&amp;#233;"),Data!K243,"")</f>
      </c>
    </row>
    <row x14ac:dyDescent="0.25" r="402" customHeight="1" ht="19.5" hidden="1">
      <c r="A402" s="62">
        <f>IF(AND(Data!R232&lt;&gt;"",Data!L232="Accept&amp;#233;"),Data!G232,"")</f>
      </c>
      <c r="B402" s="62">
        <f>IF(AND(Data!R232&lt;&gt;"",Data!L232="Accept&amp;#233;"),Data!L232,"")</f>
      </c>
      <c r="C402" s="63">
        <f>IF(D402&lt;&gt;"","S"&amp;TEXT(WEEKNUM(D402),"00"),"")</f>
      </c>
      <c r="D402" s="42">
        <f>IF(AND(Data!Q232&lt;&gt;"",Data!L232="Accept&amp;#233;"),Data!Q232,"")</f>
        <v>25569.041666666668</v>
      </c>
      <c r="E402" s="64">
        <f>IF(AND(Data!R232&lt;&gt;"",Data!L232="Accept&amp;#233;"),Data!R232,"")</f>
      </c>
      <c r="F402" s="65">
        <f>IF(AND(Data!R232&lt;&gt;"",Data!L232="Accept&amp;#233;"),Data!S232,"")</f>
      </c>
      <c r="G402" s="66">
        <f>IF(Data!R232='Delivery Plan'!E402,Data!U232,"")</f>
      </c>
      <c r="H402" s="53"/>
      <c r="I402" s="63">
        <f>IF(J402&lt;&gt;"","S"&amp;TEXT(WEEKNUM(J402),"00"),"")</f>
      </c>
      <c r="J402" s="42">
        <f>IF(AND(E402=Data!R232,Data!AA232&lt;&gt;""),Data!AA232,"")</f>
        <v>25569.041666666668</v>
      </c>
      <c r="K402" s="67">
        <f>IF(AND(E402=Data!R232,Data!AE232&lt;&gt;""),Data!AE232,"")</f>
        <v>25569.041666666668</v>
      </c>
      <c r="L402" s="68">
        <f>IF(E402=Data!R244,Data!AI244,"")</f>
      </c>
      <c r="M402" s="68">
        <f>IF(E402=Data!R244,Data!AJ244,"")</f>
      </c>
      <c r="N402" s="69">
        <f>IF(AND(Data!R244&lt;&gt;"",Data!L244="Accept&amp;#233;"),Data!K244,"")</f>
      </c>
    </row>
    <row x14ac:dyDescent="0.25" r="403" customHeight="1" ht="19.5" hidden="1">
      <c r="A403" s="62">
        <f>IF(AND(Data!R233&lt;&gt;"",Data!L233="Accept&amp;#233;"),Data!G233,"")</f>
      </c>
      <c r="B403" s="62">
        <f>IF(AND(Data!R233&lt;&gt;"",Data!L233="Accept&amp;#233;"),Data!L233,"")</f>
      </c>
      <c r="C403" s="63">
        <f>IF(D403&lt;&gt;"","S"&amp;TEXT(WEEKNUM(D403),"00"),"")</f>
      </c>
      <c r="D403" s="42">
        <f>IF(AND(Data!Q233&lt;&gt;"",Data!L233="Accept&amp;#233;"),Data!Q233,"")</f>
        <v>25569.041666666668</v>
      </c>
      <c r="E403" s="64">
        <f>IF(AND(Data!R233&lt;&gt;"",Data!L233="Accept&amp;#233;"),Data!R233,"")</f>
      </c>
      <c r="F403" s="65">
        <f>IF(AND(Data!R233&lt;&gt;"",Data!L233="Accept&amp;#233;"),Data!S233,"")</f>
      </c>
      <c r="G403" s="66">
        <f>IF(Data!R233='Delivery Plan'!E403,Data!U233,"")</f>
      </c>
      <c r="H403" s="53"/>
      <c r="I403" s="63">
        <f>IF(J403&lt;&gt;"","S"&amp;TEXT(WEEKNUM(J403),"00"),"")</f>
      </c>
      <c r="J403" s="42">
        <f>IF(AND(E403=Data!R233,Data!AA233&lt;&gt;""),Data!AA233,"")</f>
        <v>25569.041666666668</v>
      </c>
      <c r="K403" s="67">
        <f>IF(AND(E403=Data!R233,Data!AE233&lt;&gt;""),Data!AE233,"")</f>
        <v>25569.041666666668</v>
      </c>
      <c r="L403" s="68">
        <f>IF(E403=Data!R245,Data!AI245,"")</f>
      </c>
      <c r="M403" s="68">
        <f>IF(E403=Data!R245,Data!AJ245,"")</f>
      </c>
      <c r="N403" s="69">
        <f>IF(AND(Data!R245&lt;&gt;"",Data!L245="Accept&amp;#233;"),Data!K245,"")</f>
      </c>
    </row>
    <row x14ac:dyDescent="0.25" r="404" customHeight="1" ht="19.5" hidden="1">
      <c r="A404" s="62">
        <f>IF(AND(Data!R234&lt;&gt;"",Data!L234="Accept&amp;#233;"),Data!G234,"")</f>
      </c>
      <c r="B404" s="62">
        <f>IF(AND(Data!R234&lt;&gt;"",Data!L234="Accept&amp;#233;"),Data!L234,"")</f>
      </c>
      <c r="C404" s="63">
        <f>IF(D404&lt;&gt;"","S"&amp;TEXT(WEEKNUM(D404),"00"),"")</f>
      </c>
      <c r="D404" s="42">
        <f>IF(AND(Data!Q234&lt;&gt;"",Data!L234="Accept&amp;#233;"),Data!Q234,"")</f>
        <v>25569.041666666668</v>
      </c>
      <c r="E404" s="64">
        <f>IF(AND(Data!R234&lt;&gt;"",Data!L234="Accept&amp;#233;"),Data!R234,"")</f>
      </c>
      <c r="F404" s="65">
        <f>IF(AND(Data!R234&lt;&gt;"",Data!L234="Accept&amp;#233;"),Data!S234,"")</f>
      </c>
      <c r="G404" s="66">
        <f>IF(Data!R234='Delivery Plan'!E404,Data!U234,"")</f>
      </c>
      <c r="H404" s="53"/>
      <c r="I404" s="63">
        <f>IF(J404&lt;&gt;"","S"&amp;TEXT(WEEKNUM(J404),"00"),"")</f>
      </c>
      <c r="J404" s="42">
        <f>IF(AND(E404=Data!R234,Data!AA234&lt;&gt;""),Data!AA234,"")</f>
        <v>25569.041666666668</v>
      </c>
      <c r="K404" s="67">
        <f>IF(AND(E404=Data!R234,Data!AE234&lt;&gt;""),Data!AE234,"")</f>
        <v>25569.041666666668</v>
      </c>
      <c r="L404" s="68">
        <f>IF(E404=Data!R246,Data!AI246,"")</f>
      </c>
      <c r="M404" s="68">
        <f>IF(E404=Data!R246,Data!AJ246,"")</f>
      </c>
      <c r="N404" s="69">
        <f>IF(AND(Data!R246&lt;&gt;"",Data!L246="Accept&amp;#233;"),Data!K246,"")</f>
      </c>
    </row>
    <row x14ac:dyDescent="0.25" r="405" customHeight="1" ht="19.5" hidden="1">
      <c r="A405" s="62">
        <f>IF(AND(Data!R235&lt;&gt;"",Data!L235="Accept&amp;#233;"),Data!G235,"")</f>
      </c>
      <c r="B405" s="62">
        <f>IF(AND(Data!R235&lt;&gt;"",Data!L235="Accept&amp;#233;"),Data!L235,"")</f>
      </c>
      <c r="C405" s="63">
        <f>IF(D405&lt;&gt;"","S"&amp;TEXT(WEEKNUM(D405),"00"),"")</f>
      </c>
      <c r="D405" s="42">
        <f>IF(AND(Data!Q235&lt;&gt;"",Data!L235="Accept&amp;#233;"),Data!Q235,"")</f>
        <v>25569.041666666668</v>
      </c>
      <c r="E405" s="64">
        <f>IF(AND(Data!R235&lt;&gt;"",Data!L235="Accept&amp;#233;"),Data!R235,"")</f>
      </c>
      <c r="F405" s="65">
        <f>IF(AND(Data!R235&lt;&gt;"",Data!L235="Accept&amp;#233;"),Data!S235,"")</f>
      </c>
      <c r="G405" s="66">
        <f>IF(Data!R235='Delivery Plan'!E405,Data!U235,"")</f>
      </c>
      <c r="H405" s="53"/>
      <c r="I405" s="63">
        <f>IF(J405&lt;&gt;"","S"&amp;TEXT(WEEKNUM(J405),"00"),"")</f>
      </c>
      <c r="J405" s="42">
        <f>IF(AND(E405=Data!R235,Data!AA235&lt;&gt;""),Data!AA235,"")</f>
        <v>25569.041666666668</v>
      </c>
      <c r="K405" s="67">
        <f>IF(AND(E405=Data!R235,Data!AE235&lt;&gt;""),Data!AE235,"")</f>
        <v>25569.041666666668</v>
      </c>
      <c r="L405" s="68">
        <f>IF(E405=Data!R247,Data!AI247,"")</f>
      </c>
      <c r="M405" s="68">
        <f>IF(E405=Data!R247,Data!AJ247,"")</f>
      </c>
      <c r="N405" s="69">
        <f>IF(AND(Data!R247&lt;&gt;"",Data!L247="Accept&amp;#233;"),Data!K247,"")</f>
      </c>
    </row>
    <row x14ac:dyDescent="0.25" r="406" customHeight="1" ht="19.5" hidden="1">
      <c r="A406" s="62">
        <f>IF(AND(Data!R236&lt;&gt;"",Data!L236="Accept&amp;#233;"),Data!G236,"")</f>
      </c>
      <c r="B406" s="62">
        <f>IF(AND(Data!R236&lt;&gt;"",Data!L236="Accept&amp;#233;"),Data!L236,"")</f>
      </c>
      <c r="C406" s="63">
        <f>IF(D406&lt;&gt;"","S"&amp;TEXT(WEEKNUM(D406),"00"),"")</f>
      </c>
      <c r="D406" s="42">
        <f>IF(AND(Data!Q236&lt;&gt;"",Data!L236="Accept&amp;#233;"),Data!Q236,"")</f>
        <v>25569.041666666668</v>
      </c>
      <c r="E406" s="64">
        <f>IF(AND(Data!R236&lt;&gt;"",Data!L236="Accept&amp;#233;"),Data!R236,"")</f>
      </c>
      <c r="F406" s="65">
        <f>IF(AND(Data!R236&lt;&gt;"",Data!L236="Accept&amp;#233;"),Data!S236,"")</f>
      </c>
      <c r="G406" s="66">
        <f>IF(Data!R236='Delivery Plan'!E406,Data!U236,"")</f>
      </c>
      <c r="H406" s="53"/>
      <c r="I406" s="63">
        <f>IF(J406&lt;&gt;"","S"&amp;TEXT(WEEKNUM(J406),"00"),"")</f>
      </c>
      <c r="J406" s="42">
        <f>IF(AND(E406=Data!R236,Data!AA236&lt;&gt;""),Data!AA236,"")</f>
        <v>25569.041666666668</v>
      </c>
      <c r="K406" s="67">
        <f>IF(AND(E406=Data!R236,Data!AE236&lt;&gt;""),Data!AE236,"")</f>
        <v>25569.041666666668</v>
      </c>
      <c r="L406" s="68">
        <f>IF(E406=Data!R248,Data!AI248,"")</f>
      </c>
      <c r="M406" s="68">
        <f>IF(E406=Data!R248,Data!AJ248,"")</f>
      </c>
      <c r="N406" s="69">
        <f>IF(AND(Data!R248&lt;&gt;"",Data!L248="Accept&amp;#233;"),Data!K248,"")</f>
      </c>
    </row>
    <row x14ac:dyDescent="0.25" r="407" customHeight="1" ht="19.5" hidden="1">
      <c r="A407" s="62">
        <f>IF(AND(Data!R237&lt;&gt;"",Data!L237="Accept&amp;#233;"),Data!G237,"")</f>
      </c>
      <c r="B407" s="62">
        <f>IF(AND(Data!R237&lt;&gt;"",Data!L237="Accept&amp;#233;"),Data!L237,"")</f>
      </c>
      <c r="C407" s="63">
        <f>IF(D407&lt;&gt;"","S"&amp;TEXT(WEEKNUM(D407),"00"),"")</f>
      </c>
      <c r="D407" s="42">
        <f>IF(AND(Data!Q237&lt;&gt;"",Data!L237="Accept&amp;#233;"),Data!Q237,"")</f>
        <v>25569.041666666668</v>
      </c>
      <c r="E407" s="64">
        <f>IF(AND(Data!R237&lt;&gt;"",Data!L237="Accept&amp;#233;"),Data!R237,"")</f>
      </c>
      <c r="F407" s="65">
        <f>IF(AND(Data!R237&lt;&gt;"",Data!L237="Accept&amp;#233;"),Data!S237,"")</f>
      </c>
      <c r="G407" s="66">
        <f>IF(Data!R237='Delivery Plan'!E407,Data!U237,"")</f>
      </c>
      <c r="H407" s="53"/>
      <c r="I407" s="63">
        <f>IF(J407&lt;&gt;"","S"&amp;TEXT(WEEKNUM(J407),"00"),"")</f>
      </c>
      <c r="J407" s="42">
        <f>IF(AND(E407=Data!R237,Data!AA237&lt;&gt;""),Data!AA237,"")</f>
        <v>25569.041666666668</v>
      </c>
      <c r="K407" s="67">
        <f>IF(AND(E407=Data!R237,Data!AE237&lt;&gt;""),Data!AE237,"")</f>
        <v>25569.041666666668</v>
      </c>
      <c r="L407" s="68">
        <f>IF(E407=Data!R249,Data!AI249,"")</f>
      </c>
      <c r="M407" s="68">
        <f>IF(E407=Data!R249,Data!AJ249,"")</f>
      </c>
      <c r="N407" s="69">
        <f>IF(AND(Data!R249&lt;&gt;"",Data!L249="Accept&amp;#233;"),Data!K249,"")</f>
      </c>
    </row>
    <row x14ac:dyDescent="0.25" r="408" customHeight="1" ht="19.5" hidden="1">
      <c r="A408" s="62">
        <f>IF(AND(Data!R238&lt;&gt;"",Data!L238="Accept&amp;#233;"),Data!G238,"")</f>
      </c>
      <c r="B408" s="62">
        <f>IF(AND(Data!R238&lt;&gt;"",Data!L238="Accept&amp;#233;"),Data!L238,"")</f>
      </c>
      <c r="C408" s="63">
        <f>IF(D408&lt;&gt;"","S"&amp;TEXT(WEEKNUM(D408),"00"),"")</f>
      </c>
      <c r="D408" s="42">
        <f>IF(AND(Data!Q238&lt;&gt;"",Data!L238="Accept&amp;#233;"),Data!Q238,"")</f>
        <v>25569.041666666668</v>
      </c>
      <c r="E408" s="64">
        <f>IF(AND(Data!R238&lt;&gt;"",Data!L238="Accept&amp;#233;"),Data!R238,"")</f>
      </c>
      <c r="F408" s="65">
        <f>IF(AND(Data!R238&lt;&gt;"",Data!L238="Accept&amp;#233;"),Data!S238,"")</f>
      </c>
      <c r="G408" s="66">
        <f>IF(Data!R238='Delivery Plan'!E408,Data!U238,"")</f>
      </c>
      <c r="H408" s="53"/>
      <c r="I408" s="63">
        <f>IF(J408&lt;&gt;"","S"&amp;TEXT(WEEKNUM(J408),"00"),"")</f>
      </c>
      <c r="J408" s="42">
        <f>IF(AND(E408=Data!R238,Data!AA238&lt;&gt;""),Data!AA238,"")</f>
        <v>25569.041666666668</v>
      </c>
      <c r="K408" s="67">
        <f>IF(AND(E408=Data!R238,Data!AE238&lt;&gt;""),Data!AE238,"")</f>
        <v>25569.041666666668</v>
      </c>
      <c r="L408" s="68">
        <f>IF(E408=Data!R250,Data!AI250,"")</f>
      </c>
      <c r="M408" s="68">
        <f>IF(E408=Data!R250,Data!AJ250,"")</f>
      </c>
      <c r="N408" s="69">
        <f>IF(AND(Data!R250&lt;&gt;"",Data!L250="Accept&amp;#233;"),Data!K250,"")</f>
      </c>
    </row>
    <row x14ac:dyDescent="0.25" r="409" customHeight="1" ht="19.5" hidden="1">
      <c r="A409" s="62">
        <f>IF(AND(Data!R239&lt;&gt;"",Data!L239="Accept&amp;#233;"),Data!G239,"")</f>
      </c>
      <c r="B409" s="62">
        <f>IF(AND(Data!R239&lt;&gt;"",Data!L239="Accept&amp;#233;"),Data!L239,"")</f>
      </c>
      <c r="C409" s="63">
        <f>IF(D409&lt;&gt;"","S"&amp;TEXT(WEEKNUM(D409),"00"),"")</f>
      </c>
      <c r="D409" s="42">
        <f>IF(AND(Data!Q239&lt;&gt;"",Data!L239="Accept&amp;#233;"),Data!Q239,"")</f>
        <v>25569.041666666668</v>
      </c>
      <c r="E409" s="64">
        <f>IF(AND(Data!R239&lt;&gt;"",Data!L239="Accept&amp;#233;"),Data!R239,"")</f>
      </c>
      <c r="F409" s="65">
        <f>IF(AND(Data!R239&lt;&gt;"",Data!L239="Accept&amp;#233;"),Data!S239,"")</f>
      </c>
      <c r="G409" s="66">
        <f>IF(Data!R239='Delivery Plan'!E409,Data!U239,"")</f>
      </c>
      <c r="H409" s="53"/>
      <c r="I409" s="63">
        <f>IF(J409&lt;&gt;"","S"&amp;TEXT(WEEKNUM(J409),"00"),"")</f>
      </c>
      <c r="J409" s="42">
        <f>IF(AND(E409=Data!R239,Data!AA239&lt;&gt;""),Data!AA239,"")</f>
        <v>25569.041666666668</v>
      </c>
      <c r="K409" s="67">
        <f>IF(AND(E409=Data!R239,Data!AE239&lt;&gt;""),Data!AE239,"")</f>
        <v>25569.041666666668</v>
      </c>
      <c r="L409" s="68">
        <f>IF(E409=Data!R251,Data!AI251,"")</f>
      </c>
      <c r="M409" s="68">
        <f>IF(E409=Data!R251,Data!AJ251,"")</f>
      </c>
      <c r="N409" s="69">
        <f>IF(AND(Data!R251&lt;&gt;"",Data!L251="Accept&amp;#233;"),Data!K251,"")</f>
      </c>
    </row>
    <row x14ac:dyDescent="0.25" r="410" customHeight="1" ht="19.5" hidden="1">
      <c r="A410" s="62">
        <f>IF(AND(Data!R240&lt;&gt;"",Data!L240="Accept&amp;#233;"),Data!G240,"")</f>
      </c>
      <c r="B410" s="62">
        <f>IF(AND(Data!R240&lt;&gt;"",Data!L240="Accept&amp;#233;"),Data!L240,"")</f>
      </c>
      <c r="C410" s="63">
        <f>IF(D410&lt;&gt;"","S"&amp;TEXT(WEEKNUM(D410),"00"),"")</f>
      </c>
      <c r="D410" s="42">
        <f>IF(AND(Data!Q240&lt;&gt;"",Data!L240="Accept&amp;#233;"),Data!Q240,"")</f>
        <v>25569.041666666668</v>
      </c>
      <c r="E410" s="64">
        <f>IF(AND(Data!R240&lt;&gt;"",Data!L240="Accept&amp;#233;"),Data!R240,"")</f>
      </c>
      <c r="F410" s="65">
        <f>IF(AND(Data!R240&lt;&gt;"",Data!L240="Accept&amp;#233;"),Data!S240,"")</f>
      </c>
      <c r="G410" s="66">
        <f>IF(Data!R240='Delivery Plan'!E410,Data!U240,"")</f>
      </c>
      <c r="H410" s="53"/>
      <c r="I410" s="63">
        <f>IF(J410&lt;&gt;"","S"&amp;TEXT(WEEKNUM(J410),"00"),"")</f>
      </c>
      <c r="J410" s="42">
        <f>IF(AND(E410=Data!R240,Data!AA240&lt;&gt;""),Data!AA240,"")</f>
        <v>25569.041666666668</v>
      </c>
      <c r="K410" s="67">
        <f>IF(AND(E410=Data!R240,Data!AE240&lt;&gt;""),Data!AE240,"")</f>
        <v>25569.041666666668</v>
      </c>
      <c r="L410" s="68">
        <f>IF(E410=Data!R252,Data!AI252,"")</f>
      </c>
      <c r="M410" s="68">
        <f>IF(E410=Data!R252,Data!AJ252,"")</f>
      </c>
      <c r="N410" s="69">
        <f>IF(AND(Data!R252&lt;&gt;"",Data!L252="Accept&amp;#233;"),Data!K252,"")</f>
      </c>
    </row>
    <row x14ac:dyDescent="0.25" r="411" customHeight="1" ht="19.5" hidden="1">
      <c r="A411" s="62">
        <f>IF(AND(Data!R241&lt;&gt;"",Data!L241="Accept&amp;#233;"),Data!G241,"")</f>
      </c>
      <c r="B411" s="62">
        <f>IF(AND(Data!R241&lt;&gt;"",Data!L241="Accept&amp;#233;"),Data!L241,"")</f>
      </c>
      <c r="C411" s="63">
        <f>IF(D411&lt;&gt;"","S"&amp;TEXT(WEEKNUM(D411),"00"),"")</f>
      </c>
      <c r="D411" s="42">
        <f>IF(AND(Data!Q241&lt;&gt;"",Data!L241="Accept&amp;#233;"),Data!Q241,"")</f>
        <v>25569.041666666668</v>
      </c>
      <c r="E411" s="64">
        <f>IF(AND(Data!R241&lt;&gt;"",Data!L241="Accept&amp;#233;"),Data!R241,"")</f>
      </c>
      <c r="F411" s="65">
        <f>IF(AND(Data!R241&lt;&gt;"",Data!L241="Accept&amp;#233;"),Data!S241,"")</f>
      </c>
      <c r="G411" s="66">
        <f>IF(Data!R241='Delivery Plan'!E411,Data!U241,"")</f>
      </c>
      <c r="H411" s="53"/>
      <c r="I411" s="63">
        <f>IF(J411&lt;&gt;"","S"&amp;TEXT(WEEKNUM(J411),"00"),"")</f>
      </c>
      <c r="J411" s="42">
        <f>IF(AND(E411=Data!R241,Data!AA241&lt;&gt;""),Data!AA241,"")</f>
        <v>25569.041666666668</v>
      </c>
      <c r="K411" s="67">
        <f>IF(AND(E411=Data!R241,Data!AE241&lt;&gt;""),Data!AE241,"")</f>
        <v>25569.041666666668</v>
      </c>
      <c r="L411" s="68">
        <f>IF(E411=Data!R253,Data!AI253,"")</f>
      </c>
      <c r="M411" s="68">
        <f>IF(E411=Data!R253,Data!AJ253,"")</f>
      </c>
      <c r="N411" s="69">
        <f>IF(AND(Data!R253&lt;&gt;"",Data!L253="Accept&amp;#233;"),Data!K253,"")</f>
      </c>
    </row>
    <row x14ac:dyDescent="0.25" r="412" customHeight="1" ht="19.5" hidden="1">
      <c r="A412" s="62">
        <f>IF(AND(Data!R242&lt;&gt;"",Data!L242="Accept&amp;#233;"),Data!G242,"")</f>
      </c>
      <c r="B412" s="62">
        <f>IF(AND(Data!R242&lt;&gt;"",Data!L242="Accept&amp;#233;"),Data!L242,"")</f>
      </c>
      <c r="C412" s="63">
        <f>IF(D412&lt;&gt;"","S"&amp;TEXT(WEEKNUM(D412),"00"),"")</f>
      </c>
      <c r="D412" s="42">
        <f>IF(AND(Data!Q242&lt;&gt;"",Data!L242="Accept&amp;#233;"),Data!Q242,"")</f>
        <v>25569.041666666668</v>
      </c>
      <c r="E412" s="64">
        <f>IF(AND(Data!R242&lt;&gt;"",Data!L242="Accept&amp;#233;"),Data!R242,"")</f>
      </c>
      <c r="F412" s="65">
        <f>IF(AND(Data!R242&lt;&gt;"",Data!L242="Accept&amp;#233;"),Data!S242,"")</f>
      </c>
      <c r="G412" s="66">
        <f>IF(Data!R242='Delivery Plan'!E412,Data!U242,"")</f>
      </c>
      <c r="H412" s="53"/>
      <c r="I412" s="63">
        <f>IF(J412&lt;&gt;"","S"&amp;TEXT(WEEKNUM(J412),"00"),"")</f>
      </c>
      <c r="J412" s="42">
        <f>IF(AND(E412=Data!R242,Data!AA242&lt;&gt;""),Data!AA242,"")</f>
        <v>25569.041666666668</v>
      </c>
      <c r="K412" s="67">
        <f>IF(AND(E412=Data!R242,Data!AE242&lt;&gt;""),Data!AE242,"")</f>
        <v>25569.041666666668</v>
      </c>
      <c r="L412" s="68">
        <f>IF(E412=Data!R254,Data!AI254,"")</f>
      </c>
      <c r="M412" s="68">
        <f>IF(E412=Data!R254,Data!AJ254,"")</f>
      </c>
      <c r="N412" s="69">
        <f>IF(AND(Data!R254&lt;&gt;"",Data!L254="Accept&amp;#233;"),Data!K254,"")</f>
      </c>
    </row>
    <row x14ac:dyDescent="0.25" r="413" customHeight="1" ht="19.5" hidden="1">
      <c r="A413" s="62">
        <f>IF(AND(Data!R243&lt;&gt;"",Data!L243="Accept&amp;#233;"),Data!G243,"")</f>
      </c>
      <c r="B413" s="62">
        <f>IF(AND(Data!R243&lt;&gt;"",Data!L243="Accept&amp;#233;"),Data!L243,"")</f>
      </c>
      <c r="C413" s="63">
        <f>IF(D413&lt;&gt;"","S"&amp;TEXT(WEEKNUM(D413),"00"),"")</f>
      </c>
      <c r="D413" s="42">
        <f>IF(AND(Data!Q243&lt;&gt;"",Data!L243="Accept&amp;#233;"),Data!Q243,"")</f>
        <v>25569.041666666668</v>
      </c>
      <c r="E413" s="64">
        <f>IF(AND(Data!R243&lt;&gt;"",Data!L243="Accept&amp;#233;"),Data!R243,"")</f>
      </c>
      <c r="F413" s="65">
        <f>IF(AND(Data!R243&lt;&gt;"",Data!L243="Accept&amp;#233;"),Data!S243,"")</f>
      </c>
      <c r="G413" s="66">
        <f>IF(Data!R243='Delivery Plan'!E413,Data!U243,"")</f>
      </c>
      <c r="H413" s="53"/>
      <c r="I413" s="63">
        <f>IF(J413&lt;&gt;"","S"&amp;TEXT(WEEKNUM(J413),"00"),"")</f>
      </c>
      <c r="J413" s="42">
        <f>IF(AND(E413=Data!R243,Data!AA243&lt;&gt;""),Data!AA243,"")</f>
        <v>25569.041666666668</v>
      </c>
      <c r="K413" s="67">
        <f>IF(AND(E413=Data!R243,Data!AE243&lt;&gt;""),Data!AE243,"")</f>
        <v>25569.041666666668</v>
      </c>
      <c r="L413" s="68">
        <f>IF(E413=Data!R255,Data!AI255,"")</f>
      </c>
      <c r="M413" s="68">
        <f>IF(E413=Data!R255,Data!AJ255,"")</f>
      </c>
      <c r="N413" s="69">
        <f>IF(AND(Data!R255&lt;&gt;"",Data!L255="Accept&amp;#233;"),Data!K255,"")</f>
      </c>
    </row>
    <row x14ac:dyDescent="0.25" r="414" customHeight="1" ht="19.5" hidden="1">
      <c r="A414" s="62">
        <f>IF(AND(Data!R244&lt;&gt;"",Data!L244="Accept&amp;#233;"),Data!G244,"")</f>
      </c>
      <c r="B414" s="62">
        <f>IF(AND(Data!R244&lt;&gt;"",Data!L244="Accept&amp;#233;"),Data!L244,"")</f>
      </c>
      <c r="C414" s="63">
        <f>IF(D414&lt;&gt;"","S"&amp;TEXT(WEEKNUM(D414),"00"),"")</f>
      </c>
      <c r="D414" s="42">
        <f>IF(AND(Data!Q244&lt;&gt;"",Data!L244="Accept&amp;#233;"),Data!Q244,"")</f>
        <v>25569.041666666668</v>
      </c>
      <c r="E414" s="64">
        <f>IF(AND(Data!R244&lt;&gt;"",Data!L244="Accept&amp;#233;"),Data!R244,"")</f>
      </c>
      <c r="F414" s="65">
        <f>IF(AND(Data!R244&lt;&gt;"",Data!L244="Accept&amp;#233;"),Data!S244,"")</f>
      </c>
      <c r="G414" s="66">
        <f>IF(Data!R244='Delivery Plan'!E414,Data!U244,"")</f>
      </c>
      <c r="H414" s="53"/>
      <c r="I414" s="63">
        <f>IF(J414&lt;&gt;"","S"&amp;TEXT(WEEKNUM(J414),"00"),"")</f>
      </c>
      <c r="J414" s="42">
        <f>IF(AND(E414=Data!R244,Data!AA244&lt;&gt;""),Data!AA244,"")</f>
        <v>25569.041666666668</v>
      </c>
      <c r="K414" s="67">
        <f>IF(AND(E414=Data!R244,Data!AE244&lt;&gt;""),Data!AE244,"")</f>
        <v>25569.041666666668</v>
      </c>
      <c r="L414" s="68">
        <f>IF(E414=Data!R256,Data!AI256,"")</f>
      </c>
      <c r="M414" s="68">
        <f>IF(E414=Data!R256,Data!AJ256,"")</f>
      </c>
      <c r="N414" s="69">
        <f>IF(AND(Data!R256&lt;&gt;"",Data!L256="Accept&amp;#233;"),Data!K256,"")</f>
      </c>
    </row>
    <row x14ac:dyDescent="0.25" r="415" customHeight="1" ht="19.5" hidden="1">
      <c r="A415" s="62">
        <f>IF(AND(Data!R245&lt;&gt;"",Data!L245="Accept&amp;#233;"),Data!G245,"")</f>
      </c>
      <c r="B415" s="62">
        <f>IF(AND(Data!R245&lt;&gt;"",Data!L245="Accept&amp;#233;"),Data!L245,"")</f>
      </c>
      <c r="C415" s="63">
        <f>IF(D415&lt;&gt;"","S"&amp;TEXT(WEEKNUM(D415),"00"),"")</f>
      </c>
      <c r="D415" s="42">
        <f>IF(AND(Data!Q245&lt;&gt;"",Data!L245="Accept&amp;#233;"),Data!Q245,"")</f>
        <v>25569.041666666668</v>
      </c>
      <c r="E415" s="64">
        <f>IF(AND(Data!R245&lt;&gt;"",Data!L245="Accept&amp;#233;"),Data!R245,"")</f>
      </c>
      <c r="F415" s="65">
        <f>IF(AND(Data!R245&lt;&gt;"",Data!L245="Accept&amp;#233;"),Data!S245,"")</f>
      </c>
      <c r="G415" s="66">
        <f>IF(Data!R245='Delivery Plan'!E415,Data!U245,"")</f>
      </c>
      <c r="H415" s="53"/>
      <c r="I415" s="63">
        <f>IF(J415&lt;&gt;"","S"&amp;TEXT(WEEKNUM(J415),"00"),"")</f>
      </c>
      <c r="J415" s="42">
        <f>IF(AND(E415=Data!R245,Data!AA245&lt;&gt;""),Data!AA245,"")</f>
        <v>25569.041666666668</v>
      </c>
      <c r="K415" s="67">
        <f>IF(AND(E415=Data!R245,Data!AE245&lt;&gt;""),Data!AE245,"")</f>
        <v>25569.041666666668</v>
      </c>
      <c r="L415" s="68">
        <f>IF(E415=Data!R257,Data!AI257,"")</f>
      </c>
      <c r="M415" s="68">
        <f>IF(E415=Data!R257,Data!AJ257,"")</f>
      </c>
      <c r="N415" s="69">
        <f>IF(AND(Data!R257&lt;&gt;"",Data!L257="Accept&amp;#233;"),Data!K257,"")</f>
      </c>
    </row>
    <row x14ac:dyDescent="0.25" r="416" customHeight="1" ht="19.5" hidden="1">
      <c r="A416" s="62">
        <f>IF(AND(Data!R246&lt;&gt;"",Data!L246="Accept&amp;#233;"),Data!G246,"")</f>
      </c>
      <c r="B416" s="62">
        <f>IF(AND(Data!R246&lt;&gt;"",Data!L246="Accept&amp;#233;"),Data!L246,"")</f>
      </c>
      <c r="C416" s="63">
        <f>IF(D416&lt;&gt;"","S"&amp;TEXT(WEEKNUM(D416),"00"),"")</f>
      </c>
      <c r="D416" s="42">
        <f>IF(AND(Data!Q246&lt;&gt;"",Data!L246="Accept&amp;#233;"),Data!Q246,"")</f>
        <v>25569.041666666668</v>
      </c>
      <c r="E416" s="64">
        <f>IF(AND(Data!R246&lt;&gt;"",Data!L246="Accept&amp;#233;"),Data!R246,"")</f>
      </c>
      <c r="F416" s="65">
        <f>IF(AND(Data!R246&lt;&gt;"",Data!L246="Accept&amp;#233;"),Data!S246,"")</f>
      </c>
      <c r="G416" s="66">
        <f>IF(Data!R246='Delivery Plan'!E416,Data!U246,"")</f>
      </c>
      <c r="H416" s="53"/>
      <c r="I416" s="63">
        <f>IF(J416&lt;&gt;"","S"&amp;TEXT(WEEKNUM(J416),"00"),"")</f>
      </c>
      <c r="J416" s="42">
        <f>IF(AND(E416=Data!R246,Data!AA246&lt;&gt;""),Data!AA246,"")</f>
        <v>25569.041666666668</v>
      </c>
      <c r="K416" s="67">
        <f>IF(AND(E416=Data!R246,Data!AE246&lt;&gt;""),Data!AE246,"")</f>
        <v>25569.041666666668</v>
      </c>
      <c r="L416" s="68">
        <f>IF(E416=Data!R258,Data!AI258,"")</f>
      </c>
      <c r="M416" s="68">
        <f>IF(E416=Data!R258,Data!AJ258,"")</f>
      </c>
      <c r="N416" s="69">
        <f>IF(AND(Data!R258&lt;&gt;"",Data!L258="Accept&amp;#233;"),Data!K258,"")</f>
      </c>
    </row>
    <row x14ac:dyDescent="0.25" r="417" customHeight="1" ht="19.5" hidden="1">
      <c r="A417" s="62">
        <f>IF(AND(Data!R247&lt;&gt;"",Data!L247="Accept&amp;#233;"),Data!G247,"")</f>
      </c>
      <c r="B417" s="62">
        <f>IF(AND(Data!R247&lt;&gt;"",Data!L247="Accept&amp;#233;"),Data!L247,"")</f>
      </c>
      <c r="C417" s="63">
        <f>IF(D417&lt;&gt;"","S"&amp;TEXT(WEEKNUM(D417),"00"),"")</f>
      </c>
      <c r="D417" s="42">
        <f>IF(AND(Data!Q247&lt;&gt;"",Data!L247="Accept&amp;#233;"),Data!Q247,"")</f>
        <v>25569.041666666668</v>
      </c>
      <c r="E417" s="64">
        <f>IF(AND(Data!R247&lt;&gt;"",Data!L247="Accept&amp;#233;"),Data!R247,"")</f>
      </c>
      <c r="F417" s="65">
        <f>IF(AND(Data!R247&lt;&gt;"",Data!L247="Accept&amp;#233;"),Data!S247,"")</f>
      </c>
      <c r="G417" s="66">
        <f>IF(Data!R247='Delivery Plan'!E417,Data!U247,"")</f>
      </c>
      <c r="H417" s="53"/>
      <c r="I417" s="63">
        <f>IF(J417&lt;&gt;"","S"&amp;TEXT(WEEKNUM(J417),"00"),"")</f>
      </c>
      <c r="J417" s="42">
        <f>IF(AND(E417=Data!R247,Data!AA247&lt;&gt;""),Data!AA247,"")</f>
        <v>25569.041666666668</v>
      </c>
      <c r="K417" s="67">
        <f>IF(AND(E417=Data!R247,Data!AE247&lt;&gt;""),Data!AE247,"")</f>
        <v>25569.041666666668</v>
      </c>
      <c r="L417" s="68">
        <f>IF(E417=Data!R259,Data!AI259,"")</f>
      </c>
      <c r="M417" s="68">
        <f>IF(E417=Data!R259,Data!AJ259,"")</f>
      </c>
      <c r="N417" s="69">
        <f>IF(AND(Data!R259&lt;&gt;"",Data!L259="Accept&amp;#233;"),Data!K259,"")</f>
      </c>
    </row>
    <row x14ac:dyDescent="0.25" r="418" customHeight="1" ht="19.5" hidden="1">
      <c r="A418" s="62">
        <f>IF(AND(Data!R248&lt;&gt;"",Data!L248="Accept&amp;#233;"),Data!G248,"")</f>
      </c>
      <c r="B418" s="62">
        <f>IF(AND(Data!R248&lt;&gt;"",Data!L248="Accept&amp;#233;"),Data!L248,"")</f>
      </c>
      <c r="C418" s="63">
        <f>IF(D418&lt;&gt;"","S"&amp;TEXT(WEEKNUM(D418),"00"),"")</f>
      </c>
      <c r="D418" s="42">
        <f>IF(AND(Data!Q248&lt;&gt;"",Data!L248="Accept&amp;#233;"),Data!Q248,"")</f>
        <v>25569.041666666668</v>
      </c>
      <c r="E418" s="64">
        <f>IF(AND(Data!R248&lt;&gt;"",Data!L248="Accept&amp;#233;"),Data!R248,"")</f>
      </c>
      <c r="F418" s="65">
        <f>IF(AND(Data!R248&lt;&gt;"",Data!L248="Accept&amp;#233;"),Data!S248,"")</f>
      </c>
      <c r="G418" s="66">
        <f>IF(Data!R248='Delivery Plan'!E418,Data!U248,"")</f>
      </c>
      <c r="H418" s="53"/>
      <c r="I418" s="63">
        <f>IF(J418&lt;&gt;"","S"&amp;TEXT(WEEKNUM(J418),"00"),"")</f>
      </c>
      <c r="J418" s="42">
        <f>IF(AND(E418=Data!R248,Data!AA248&lt;&gt;""),Data!AA248,"")</f>
        <v>25569.041666666668</v>
      </c>
      <c r="K418" s="67">
        <f>IF(AND(E418=Data!R248,Data!AE248&lt;&gt;""),Data!AE248,"")</f>
        <v>25569.041666666668</v>
      </c>
      <c r="L418" s="68">
        <f>IF(E418=Data!R260,Data!AI260,"")</f>
      </c>
      <c r="M418" s="68">
        <f>IF(E418=Data!R260,Data!AJ260,"")</f>
      </c>
      <c r="N418" s="69">
        <f>IF(AND(Data!R260&lt;&gt;"",Data!L260="Accept&amp;#233;"),Data!K260,"")</f>
      </c>
    </row>
    <row x14ac:dyDescent="0.25" r="419" customHeight="1" ht="19.5" hidden="1">
      <c r="A419" s="62">
        <f>IF(AND(Data!R249&lt;&gt;"",Data!L249="Accept&amp;#233;"),Data!G249,"")</f>
      </c>
      <c r="B419" s="62">
        <f>IF(AND(Data!R249&lt;&gt;"",Data!L249="Accept&amp;#233;"),Data!L249,"")</f>
      </c>
      <c r="C419" s="63">
        <f>IF(D419&lt;&gt;"","S"&amp;TEXT(WEEKNUM(D419),"00"),"")</f>
      </c>
      <c r="D419" s="42">
        <f>IF(AND(Data!Q249&lt;&gt;"",Data!L249="Accept&amp;#233;"),Data!Q249,"")</f>
        <v>25569.041666666668</v>
      </c>
      <c r="E419" s="64">
        <f>IF(AND(Data!R249&lt;&gt;"",Data!L249="Accept&amp;#233;"),Data!R249,"")</f>
      </c>
      <c r="F419" s="65">
        <f>IF(AND(Data!R249&lt;&gt;"",Data!L249="Accept&amp;#233;"),Data!S249,"")</f>
      </c>
      <c r="G419" s="66">
        <f>IF(Data!R249='Delivery Plan'!E419,Data!U249,"")</f>
      </c>
      <c r="H419" s="53"/>
      <c r="I419" s="63">
        <f>IF(J419&lt;&gt;"","S"&amp;TEXT(WEEKNUM(J419),"00"),"")</f>
      </c>
      <c r="J419" s="42">
        <f>IF(AND(E419=Data!R249,Data!AA249&lt;&gt;""),Data!AA249,"")</f>
        <v>25569.041666666668</v>
      </c>
      <c r="K419" s="67">
        <f>IF(AND(E419=Data!R249,Data!AE249&lt;&gt;""),Data!AE249,"")</f>
        <v>25569.041666666668</v>
      </c>
      <c r="L419" s="68">
        <f>IF(E419=Data!R261,Data!AI261,"")</f>
      </c>
      <c r="M419" s="68">
        <f>IF(E419=Data!R261,Data!AJ261,"")</f>
      </c>
      <c r="N419" s="69">
        <f>IF(AND(Data!R261&lt;&gt;"",Data!L261="Accept&amp;#233;"),Data!K261,"")</f>
      </c>
    </row>
    <row x14ac:dyDescent="0.25" r="420" customHeight="1" ht="19.5" hidden="1">
      <c r="A420" s="62">
        <f>IF(AND(Data!R250&lt;&gt;"",Data!L250="Accept&amp;#233;"),Data!G250,"")</f>
      </c>
      <c r="B420" s="62">
        <f>IF(AND(Data!R250&lt;&gt;"",Data!L250="Accept&amp;#233;"),Data!L250,"")</f>
      </c>
      <c r="C420" s="63">
        <f>IF(D420&lt;&gt;"","S"&amp;TEXT(WEEKNUM(D420),"00"),"")</f>
      </c>
      <c r="D420" s="42">
        <f>IF(AND(Data!Q250&lt;&gt;"",Data!L250="Accept&amp;#233;"),Data!Q250,"")</f>
        <v>25569.041666666668</v>
      </c>
      <c r="E420" s="64">
        <f>IF(AND(Data!R250&lt;&gt;"",Data!L250="Accept&amp;#233;"),Data!R250,"")</f>
      </c>
      <c r="F420" s="65">
        <f>IF(AND(Data!R250&lt;&gt;"",Data!L250="Accept&amp;#233;"),Data!S250,"")</f>
      </c>
      <c r="G420" s="66">
        <f>IF(Data!R250='Delivery Plan'!E420,Data!U250,"")</f>
      </c>
      <c r="H420" s="53"/>
      <c r="I420" s="63">
        <f>IF(J420&lt;&gt;"","S"&amp;TEXT(WEEKNUM(J420),"00"),"")</f>
      </c>
      <c r="J420" s="42">
        <f>IF(AND(E420=Data!R250,Data!AA250&lt;&gt;""),Data!AA250,"")</f>
        <v>25569.041666666668</v>
      </c>
      <c r="K420" s="67">
        <f>IF(AND(E420=Data!R250,Data!AE250&lt;&gt;""),Data!AE250,"")</f>
        <v>25569.041666666668</v>
      </c>
      <c r="L420" s="68">
        <f>IF(E420=Data!R262,Data!AI262,"")</f>
      </c>
      <c r="M420" s="68">
        <f>IF(E420=Data!R262,Data!AJ262,"")</f>
      </c>
      <c r="N420" s="69">
        <f>IF(AND(Data!R262&lt;&gt;"",Data!L262="Accept&amp;#233;"),Data!K262,"")</f>
      </c>
    </row>
    <row x14ac:dyDescent="0.25" r="421" customHeight="1" ht="19.5" hidden="1">
      <c r="A421" s="62">
        <f>IF(AND(Data!R251&lt;&gt;"",Data!L251="Accept&amp;#233;"),Data!G251,"")</f>
      </c>
      <c r="B421" s="62">
        <f>IF(AND(Data!R251&lt;&gt;"",Data!L251="Accept&amp;#233;"),Data!L251,"")</f>
      </c>
      <c r="C421" s="63">
        <f>IF(D421&lt;&gt;"","S"&amp;TEXT(WEEKNUM(D421),"00"),"")</f>
      </c>
      <c r="D421" s="42">
        <f>IF(AND(Data!Q251&lt;&gt;"",Data!L251="Accept&amp;#233;"),Data!Q251,"")</f>
        <v>25569.041666666668</v>
      </c>
      <c r="E421" s="64">
        <f>IF(AND(Data!R251&lt;&gt;"",Data!L251="Accept&amp;#233;"),Data!R251,"")</f>
      </c>
      <c r="F421" s="65">
        <f>IF(AND(Data!R251&lt;&gt;"",Data!L251="Accept&amp;#233;"),Data!S251,"")</f>
      </c>
      <c r="G421" s="66">
        <f>IF(Data!R251='Delivery Plan'!E421,Data!U251,"")</f>
      </c>
      <c r="H421" s="53"/>
      <c r="I421" s="63">
        <f>IF(J421&lt;&gt;"","S"&amp;TEXT(WEEKNUM(J421),"00"),"")</f>
      </c>
      <c r="J421" s="42">
        <f>IF(AND(E421=Data!R251,Data!AA251&lt;&gt;""),Data!AA251,"")</f>
        <v>25569.041666666668</v>
      </c>
      <c r="K421" s="67">
        <f>IF(AND(E421=Data!R251,Data!AE251&lt;&gt;""),Data!AE251,"")</f>
        <v>25569.041666666668</v>
      </c>
      <c r="L421" s="68">
        <f>IF(E421=Data!R263,Data!AI263,"")</f>
      </c>
      <c r="M421" s="68">
        <f>IF(E421=Data!R263,Data!AJ263,"")</f>
      </c>
      <c r="N421" s="69">
        <f>IF(AND(Data!R263&lt;&gt;"",Data!L263="Accept&amp;#233;"),Data!K263,"")</f>
      </c>
    </row>
    <row x14ac:dyDescent="0.25" r="422" customHeight="1" ht="19.5" hidden="1">
      <c r="A422" s="62">
        <f>IF(AND(Data!R252&lt;&gt;"",Data!L252="Accept&amp;#233;"),Data!G252,"")</f>
      </c>
      <c r="B422" s="62">
        <f>IF(AND(Data!R252&lt;&gt;"",Data!L252="Accept&amp;#233;"),Data!L252,"")</f>
      </c>
      <c r="C422" s="63">
        <f>IF(D422&lt;&gt;"","S"&amp;TEXT(WEEKNUM(D422),"00"),"")</f>
      </c>
      <c r="D422" s="42">
        <f>IF(AND(Data!Q252&lt;&gt;"",Data!L252="Accept&amp;#233;"),Data!Q252,"")</f>
        <v>25569.041666666668</v>
      </c>
      <c r="E422" s="64">
        <f>IF(AND(Data!R252&lt;&gt;"",Data!L252="Accept&amp;#233;"),Data!R252,"")</f>
      </c>
      <c r="F422" s="65">
        <f>IF(AND(Data!R252&lt;&gt;"",Data!L252="Accept&amp;#233;"),Data!S252,"")</f>
      </c>
      <c r="G422" s="66">
        <f>IF(Data!R252='Delivery Plan'!E422,Data!U252,"")</f>
      </c>
      <c r="H422" s="53"/>
      <c r="I422" s="63">
        <f>IF(J422&lt;&gt;"","S"&amp;TEXT(WEEKNUM(J422),"00"),"")</f>
      </c>
      <c r="J422" s="42">
        <f>IF(AND(E422=Data!R252,Data!AA252&lt;&gt;""),Data!AA252,"")</f>
        <v>25569.041666666668</v>
      </c>
      <c r="K422" s="67">
        <f>IF(AND(E422=Data!R252,Data!AE252&lt;&gt;""),Data!AE252,"")</f>
        <v>25569.041666666668</v>
      </c>
      <c r="L422" s="68">
        <f>IF(E422=Data!R264,Data!AI264,"")</f>
      </c>
      <c r="M422" s="68">
        <f>IF(E422=Data!R264,Data!AJ264,"")</f>
      </c>
      <c r="N422" s="69">
        <f>IF(AND(Data!R264&lt;&gt;"",Data!L264="Accept&amp;#233;"),Data!K264,"")</f>
      </c>
    </row>
    <row x14ac:dyDescent="0.25" r="423" customHeight="1" ht="19.5" hidden="1">
      <c r="A423" s="62">
        <f>IF(AND(Data!R253&lt;&gt;"",Data!L253="Accept&amp;#233;"),Data!G253,"")</f>
      </c>
      <c r="B423" s="62">
        <f>IF(AND(Data!R253&lt;&gt;"",Data!L253="Accept&amp;#233;"),Data!L253,"")</f>
      </c>
      <c r="C423" s="63">
        <f>IF(D423&lt;&gt;"","S"&amp;TEXT(WEEKNUM(D423),"00"),"")</f>
      </c>
      <c r="D423" s="42">
        <f>IF(AND(Data!Q253&lt;&gt;"",Data!L253="Accept&amp;#233;"),Data!Q253,"")</f>
        <v>25569.041666666668</v>
      </c>
      <c r="E423" s="64">
        <f>IF(AND(Data!R253&lt;&gt;"",Data!L253="Accept&amp;#233;"),Data!R253,"")</f>
      </c>
      <c r="F423" s="65">
        <f>IF(AND(Data!R253&lt;&gt;"",Data!L253="Accept&amp;#233;"),Data!S253,"")</f>
      </c>
      <c r="G423" s="66">
        <f>IF(Data!R253='Delivery Plan'!E423,Data!U253,"")</f>
      </c>
      <c r="H423" s="53"/>
      <c r="I423" s="63">
        <f>IF(J423&lt;&gt;"","S"&amp;TEXT(WEEKNUM(J423),"00"),"")</f>
      </c>
      <c r="J423" s="42">
        <f>IF(AND(E423=Data!R253,Data!AA253&lt;&gt;""),Data!AA253,"")</f>
        <v>25569.041666666668</v>
      </c>
      <c r="K423" s="67">
        <f>IF(AND(E423=Data!R253,Data!AE253&lt;&gt;""),Data!AE253,"")</f>
        <v>25569.041666666668</v>
      </c>
      <c r="L423" s="68">
        <f>IF(E423=Data!R265,Data!AI265,"")</f>
      </c>
      <c r="M423" s="68">
        <f>IF(E423=Data!R265,Data!AJ265,"")</f>
      </c>
      <c r="N423" s="69">
        <f>IF(AND(Data!R265&lt;&gt;"",Data!L265="Accept&amp;#233;"),Data!K265,"")</f>
      </c>
    </row>
    <row x14ac:dyDescent="0.25" r="424" customHeight="1" ht="19.5" hidden="1">
      <c r="A424" s="62">
        <f>IF(AND(Data!R254&lt;&gt;"",Data!L254="Accept&amp;#233;"),Data!G254,"")</f>
      </c>
      <c r="B424" s="62">
        <f>IF(AND(Data!R254&lt;&gt;"",Data!L254="Accept&amp;#233;"),Data!L254,"")</f>
      </c>
      <c r="C424" s="63">
        <f>IF(D424&lt;&gt;"","S"&amp;TEXT(WEEKNUM(D424),"00"),"")</f>
      </c>
      <c r="D424" s="42">
        <f>IF(AND(Data!Q254&lt;&gt;"",Data!L254="Accept&amp;#233;"),Data!Q254,"")</f>
        <v>25569.041666666668</v>
      </c>
      <c r="E424" s="64">
        <f>IF(AND(Data!R254&lt;&gt;"",Data!L254="Accept&amp;#233;"),Data!R254,"")</f>
      </c>
      <c r="F424" s="65">
        <f>IF(AND(Data!R254&lt;&gt;"",Data!L254="Accept&amp;#233;"),Data!S254,"")</f>
      </c>
      <c r="G424" s="66">
        <f>IF(Data!R254='Delivery Plan'!E424,Data!U254,"")</f>
      </c>
      <c r="H424" s="53"/>
      <c r="I424" s="63">
        <f>IF(J424&lt;&gt;"","S"&amp;TEXT(WEEKNUM(J424),"00"),"")</f>
      </c>
      <c r="J424" s="42">
        <f>IF(AND(E424=Data!R254,Data!AA254&lt;&gt;""),Data!AA254,"")</f>
        <v>25569.041666666668</v>
      </c>
      <c r="K424" s="67">
        <f>IF(AND(E424=Data!R254,Data!AE254&lt;&gt;""),Data!AE254,"")</f>
        <v>25569.041666666668</v>
      </c>
      <c r="L424" s="68">
        <f>IF(E424=Data!R266,Data!AI266,"")</f>
      </c>
      <c r="M424" s="68">
        <f>IF(E424=Data!R266,Data!AJ266,"")</f>
      </c>
      <c r="N424" s="69">
        <f>IF(AND(Data!R266&lt;&gt;"",Data!L266="Accept&amp;#233;"),Data!K266,"")</f>
      </c>
    </row>
    <row x14ac:dyDescent="0.25" r="425" customHeight="1" ht="19.5" hidden="1">
      <c r="A425" s="62">
        <f>IF(AND(Data!R255&lt;&gt;"",Data!L255="Accept&amp;#233;"),Data!G255,"")</f>
      </c>
      <c r="B425" s="62">
        <f>IF(AND(Data!R255&lt;&gt;"",Data!L255="Accept&amp;#233;"),Data!L255,"")</f>
      </c>
      <c r="C425" s="63">
        <f>IF(D425&lt;&gt;"","S"&amp;TEXT(WEEKNUM(D425),"00"),"")</f>
      </c>
      <c r="D425" s="42">
        <f>IF(AND(Data!Q255&lt;&gt;"",Data!L255="Accept&amp;#233;"),Data!Q255,"")</f>
        <v>25569.041666666668</v>
      </c>
      <c r="E425" s="64">
        <f>IF(AND(Data!R255&lt;&gt;"",Data!L255="Accept&amp;#233;"),Data!R255,"")</f>
      </c>
      <c r="F425" s="65">
        <f>IF(AND(Data!R255&lt;&gt;"",Data!L255="Accept&amp;#233;"),Data!S255,"")</f>
      </c>
      <c r="G425" s="66">
        <f>IF(Data!R255='Delivery Plan'!E425,Data!U255,"")</f>
      </c>
      <c r="H425" s="53"/>
      <c r="I425" s="63">
        <f>IF(J425&lt;&gt;"","S"&amp;TEXT(WEEKNUM(J425),"00"),"")</f>
      </c>
      <c r="J425" s="42">
        <f>IF(AND(E425=Data!R255,Data!AA255&lt;&gt;""),Data!AA255,"")</f>
        <v>25569.041666666668</v>
      </c>
      <c r="K425" s="67">
        <f>IF(AND(E425=Data!R255,Data!AE255&lt;&gt;""),Data!AE255,"")</f>
        <v>25569.041666666668</v>
      </c>
      <c r="L425" s="68">
        <f>IF(E425=Data!R267,Data!AI267,"")</f>
      </c>
      <c r="M425" s="68">
        <f>IF(E425=Data!R267,Data!AJ267,"")</f>
      </c>
      <c r="N425" s="69">
        <f>IF(AND(Data!R267&lt;&gt;"",Data!L267="Accept&amp;#233;"),Data!K267,"")</f>
      </c>
    </row>
    <row x14ac:dyDescent="0.25" r="426" customHeight="1" ht="19.5" hidden="1">
      <c r="A426" s="62">
        <f>IF(AND(Data!R256&lt;&gt;"",Data!L256="Accept&amp;#233;"),Data!G256,"")</f>
      </c>
      <c r="B426" s="62">
        <f>IF(AND(Data!R256&lt;&gt;"",Data!L256="Accept&amp;#233;"),Data!L256,"")</f>
      </c>
      <c r="C426" s="63">
        <f>IF(D426&lt;&gt;"","S"&amp;TEXT(WEEKNUM(D426),"00"),"")</f>
      </c>
      <c r="D426" s="42">
        <f>IF(AND(Data!Q256&lt;&gt;"",Data!L256="Accept&amp;#233;"),Data!Q256,"")</f>
        <v>25569.041666666668</v>
      </c>
      <c r="E426" s="64">
        <f>IF(AND(Data!R256&lt;&gt;"",Data!L256="Accept&amp;#233;"),Data!R256,"")</f>
      </c>
      <c r="F426" s="65">
        <f>IF(AND(Data!R256&lt;&gt;"",Data!L256="Accept&amp;#233;"),Data!S256,"")</f>
      </c>
      <c r="G426" s="66">
        <f>IF(Data!R256='Delivery Plan'!E426,Data!U256,"")</f>
      </c>
      <c r="H426" s="53"/>
      <c r="I426" s="63">
        <f>IF(J426&lt;&gt;"","S"&amp;TEXT(WEEKNUM(J426),"00"),"")</f>
      </c>
      <c r="J426" s="42">
        <f>IF(AND(E426=Data!R256,Data!AA256&lt;&gt;""),Data!AA256,"")</f>
        <v>25569.041666666668</v>
      </c>
      <c r="K426" s="67">
        <f>IF(AND(E426=Data!R256,Data!AE256&lt;&gt;""),Data!AE256,"")</f>
        <v>25569.041666666668</v>
      </c>
      <c r="L426" s="68">
        <f>IF(E426=Data!R268,Data!AI268,"")</f>
      </c>
      <c r="M426" s="68">
        <f>IF(E426=Data!R268,Data!AJ268,"")</f>
      </c>
      <c r="N426" s="69">
        <f>IF(AND(Data!R268&lt;&gt;"",Data!L268="Accept&amp;#233;"),Data!K268,"")</f>
      </c>
    </row>
    <row x14ac:dyDescent="0.25" r="427" customHeight="1" ht="19.5" hidden="1">
      <c r="A427" s="62">
        <f>IF(AND(Data!R257&lt;&gt;"",Data!L257="Accept&amp;#233;"),Data!G257,"")</f>
      </c>
      <c r="B427" s="62">
        <f>IF(AND(Data!R257&lt;&gt;"",Data!L257="Accept&amp;#233;"),Data!L257,"")</f>
      </c>
      <c r="C427" s="63">
        <f>IF(D427&lt;&gt;"","S"&amp;TEXT(WEEKNUM(D427),"00"),"")</f>
      </c>
      <c r="D427" s="42">
        <f>IF(AND(Data!Q257&lt;&gt;"",Data!L257="Accept&amp;#233;"),Data!Q257,"")</f>
        <v>25569.041666666668</v>
      </c>
      <c r="E427" s="64">
        <f>IF(AND(Data!R257&lt;&gt;"",Data!L257="Accept&amp;#233;"),Data!R257,"")</f>
      </c>
      <c r="F427" s="65">
        <f>IF(AND(Data!R257&lt;&gt;"",Data!L257="Accept&amp;#233;"),Data!S257,"")</f>
      </c>
      <c r="G427" s="66">
        <f>IF(Data!R257='Delivery Plan'!E427,Data!U257,"")</f>
      </c>
      <c r="H427" s="53"/>
      <c r="I427" s="63">
        <f>IF(J427&lt;&gt;"","S"&amp;TEXT(WEEKNUM(J427),"00"),"")</f>
      </c>
      <c r="J427" s="42">
        <f>IF(AND(E427=Data!R257,Data!AA257&lt;&gt;""),Data!AA257,"")</f>
        <v>25569.041666666668</v>
      </c>
      <c r="K427" s="67">
        <f>IF(AND(E427=Data!R257,Data!AE257&lt;&gt;""),Data!AE257,"")</f>
        <v>25569.041666666668</v>
      </c>
      <c r="L427" s="68">
        <f>IF(E427=Data!R269,Data!AI269,"")</f>
      </c>
      <c r="M427" s="68">
        <f>IF(E427=Data!R269,Data!AJ269,"")</f>
      </c>
      <c r="N427" s="69">
        <f>IF(AND(Data!R269&lt;&gt;"",Data!L269="Accept&amp;#233;"),Data!K269,"")</f>
      </c>
    </row>
    <row x14ac:dyDescent="0.25" r="428" customHeight="1" ht="19.5" hidden="1">
      <c r="A428" s="62">
        <f>IF(AND(Data!R258&lt;&gt;"",Data!L258="Accept&amp;#233;"),Data!G258,"")</f>
      </c>
      <c r="B428" s="62">
        <f>IF(AND(Data!R258&lt;&gt;"",Data!L258="Accept&amp;#233;"),Data!L258,"")</f>
      </c>
      <c r="C428" s="63">
        <f>IF(D428&lt;&gt;"","S"&amp;TEXT(WEEKNUM(D428),"00"),"")</f>
      </c>
      <c r="D428" s="42">
        <f>IF(AND(Data!Q258&lt;&gt;"",Data!L258="Accept&amp;#233;"),Data!Q258,"")</f>
        <v>25569.041666666668</v>
      </c>
      <c r="E428" s="64">
        <f>IF(AND(Data!R258&lt;&gt;"",Data!L258="Accept&amp;#233;"),Data!R258,"")</f>
      </c>
      <c r="F428" s="65">
        <f>IF(AND(Data!R258&lt;&gt;"",Data!L258="Accept&amp;#233;"),Data!S258,"")</f>
      </c>
      <c r="G428" s="66">
        <f>IF(Data!R258='Delivery Plan'!E428,Data!U258,"")</f>
      </c>
      <c r="H428" s="53"/>
      <c r="I428" s="63">
        <f>IF(J428&lt;&gt;"","S"&amp;TEXT(WEEKNUM(J428),"00"),"")</f>
      </c>
      <c r="J428" s="42">
        <f>IF(AND(E428=Data!R258,Data!AA258&lt;&gt;""),Data!AA258,"")</f>
        <v>25569.041666666668</v>
      </c>
      <c r="K428" s="67">
        <f>IF(AND(E428=Data!R258,Data!AE258&lt;&gt;""),Data!AE258,"")</f>
        <v>25569.041666666668</v>
      </c>
      <c r="L428" s="68">
        <f>IF(E428=Data!R270,Data!AI270,"")</f>
      </c>
      <c r="M428" s="68">
        <f>IF(E428=Data!R270,Data!AJ270,"")</f>
      </c>
      <c r="N428" s="69">
        <f>IF(AND(Data!R270&lt;&gt;"",Data!L270="Accept&amp;#233;"),Data!K270,"")</f>
      </c>
    </row>
    <row x14ac:dyDescent="0.25" r="429" customHeight="1" ht="19.5" hidden="1">
      <c r="A429" s="62">
        <f>IF(AND(Data!R259&lt;&gt;"",Data!L259="Accept&amp;#233;"),Data!G259,"")</f>
      </c>
      <c r="B429" s="62">
        <f>IF(AND(Data!R259&lt;&gt;"",Data!L259="Accept&amp;#233;"),Data!L259,"")</f>
      </c>
      <c r="C429" s="63">
        <f>IF(D429&lt;&gt;"","S"&amp;TEXT(WEEKNUM(D429),"00"),"")</f>
      </c>
      <c r="D429" s="42">
        <f>IF(AND(Data!Q259&lt;&gt;"",Data!L259="Accept&amp;#233;"),Data!Q259,"")</f>
        <v>25569.041666666668</v>
      </c>
      <c r="E429" s="64">
        <f>IF(AND(Data!R259&lt;&gt;"",Data!L259="Accept&amp;#233;"),Data!R259,"")</f>
      </c>
      <c r="F429" s="65">
        <f>IF(AND(Data!R259&lt;&gt;"",Data!L259="Accept&amp;#233;"),Data!S259,"")</f>
      </c>
      <c r="G429" s="66">
        <f>IF(Data!R259='Delivery Plan'!E429,Data!U259,"")</f>
      </c>
      <c r="H429" s="53"/>
      <c r="I429" s="63">
        <f>IF(J429&lt;&gt;"","S"&amp;TEXT(WEEKNUM(J429),"00"),"")</f>
      </c>
      <c r="J429" s="42">
        <f>IF(AND(E429=Data!R259,Data!AA259&lt;&gt;""),Data!AA259,"")</f>
        <v>25569.041666666668</v>
      </c>
      <c r="K429" s="67">
        <f>IF(AND(E429=Data!R259,Data!AE259&lt;&gt;""),Data!AE259,"")</f>
        <v>25569.041666666668</v>
      </c>
      <c r="L429" s="68">
        <f>IF(E429=Data!R271,Data!AI271,"")</f>
      </c>
      <c r="M429" s="68">
        <f>IF(E429=Data!R271,Data!AJ271,"")</f>
      </c>
      <c r="N429" s="69">
        <f>IF(AND(Data!R271&lt;&gt;"",Data!L271="Accept&amp;#233;"),Data!K271,"")</f>
      </c>
    </row>
    <row x14ac:dyDescent="0.25" r="430" customHeight="1" ht="19.5" hidden="1">
      <c r="A430" s="62">
        <f>IF(AND(Data!R260&lt;&gt;"",Data!L260="Accept&amp;#233;"),Data!G260,"")</f>
      </c>
      <c r="B430" s="62">
        <f>IF(AND(Data!R260&lt;&gt;"",Data!L260="Accept&amp;#233;"),Data!L260,"")</f>
      </c>
      <c r="C430" s="63">
        <f>IF(D430&lt;&gt;"","S"&amp;TEXT(WEEKNUM(D430),"00"),"")</f>
      </c>
      <c r="D430" s="42">
        <f>IF(AND(Data!Q260&lt;&gt;"",Data!L260="Accept&amp;#233;"),Data!Q260,"")</f>
        <v>25569.041666666668</v>
      </c>
      <c r="E430" s="64">
        <f>IF(AND(Data!R260&lt;&gt;"",Data!L260="Accept&amp;#233;"),Data!R260,"")</f>
      </c>
      <c r="F430" s="65">
        <f>IF(AND(Data!R260&lt;&gt;"",Data!L260="Accept&amp;#233;"),Data!S260,"")</f>
      </c>
      <c r="G430" s="66">
        <f>IF(Data!R260='Delivery Plan'!E430,Data!U260,"")</f>
      </c>
      <c r="H430" s="53"/>
      <c r="I430" s="63">
        <f>IF(J430&lt;&gt;"","S"&amp;TEXT(WEEKNUM(J430),"00"),"")</f>
      </c>
      <c r="J430" s="42">
        <f>IF(AND(E430=Data!R260,Data!AA260&lt;&gt;""),Data!AA260,"")</f>
        <v>25569.041666666668</v>
      </c>
      <c r="K430" s="67">
        <f>IF(AND(E430=Data!R260,Data!AE260&lt;&gt;""),Data!AE260,"")</f>
        <v>25569.041666666668</v>
      </c>
      <c r="L430" s="68">
        <f>IF(E430=Data!R272,Data!AI272,"")</f>
      </c>
      <c r="M430" s="68">
        <f>IF(E430=Data!R272,Data!AJ272,"")</f>
      </c>
      <c r="N430" s="69">
        <f>IF(AND(Data!R272&lt;&gt;"",Data!L272="Accept&amp;#233;"),Data!K272,"")</f>
      </c>
    </row>
    <row x14ac:dyDescent="0.25" r="431" customHeight="1" ht="19.5" hidden="1">
      <c r="A431" s="62">
        <f>IF(AND(Data!R261&lt;&gt;"",Data!L261="Accept&amp;#233;"),Data!G261,"")</f>
      </c>
      <c r="B431" s="62">
        <f>IF(AND(Data!R261&lt;&gt;"",Data!L261="Accept&amp;#233;"),Data!L261,"")</f>
      </c>
      <c r="C431" s="63">
        <f>IF(D431&lt;&gt;"","S"&amp;TEXT(WEEKNUM(D431),"00"),"")</f>
      </c>
      <c r="D431" s="42">
        <f>IF(AND(Data!Q261&lt;&gt;"",Data!L261="Accept&amp;#233;"),Data!Q261,"")</f>
        <v>25569.041666666668</v>
      </c>
      <c r="E431" s="64">
        <f>IF(AND(Data!R261&lt;&gt;"",Data!L261="Accept&amp;#233;"),Data!R261,"")</f>
      </c>
      <c r="F431" s="65">
        <f>IF(AND(Data!R261&lt;&gt;"",Data!L261="Accept&amp;#233;"),Data!S261,"")</f>
      </c>
      <c r="G431" s="66">
        <f>IF(Data!R261='Delivery Plan'!E431,Data!U261,"")</f>
      </c>
      <c r="H431" s="53"/>
      <c r="I431" s="63">
        <f>IF(J431&lt;&gt;"","S"&amp;TEXT(WEEKNUM(J431),"00"),"")</f>
      </c>
      <c r="J431" s="42">
        <f>IF(AND(E431=Data!R261,Data!AA261&lt;&gt;""),Data!AA261,"")</f>
        <v>25569.041666666668</v>
      </c>
      <c r="K431" s="67">
        <f>IF(AND(E431=Data!R261,Data!AE261&lt;&gt;""),Data!AE261,"")</f>
        <v>25569.041666666668</v>
      </c>
      <c r="L431" s="68">
        <f>IF(E431=Data!R273,Data!AI273,"")</f>
      </c>
      <c r="M431" s="68">
        <f>IF(E431=Data!R273,Data!AJ273,"")</f>
      </c>
      <c r="N431" s="69">
        <f>IF(AND(Data!R273&lt;&gt;"",Data!L273="Accept&amp;#233;"),Data!K273,"")</f>
      </c>
    </row>
    <row x14ac:dyDescent="0.25" r="432" customHeight="1" ht="19.5" hidden="1">
      <c r="A432" s="62">
        <f>IF(AND(Data!R262&lt;&gt;"",Data!L262="Accept&amp;#233;"),Data!G262,"")</f>
      </c>
      <c r="B432" s="62">
        <f>IF(AND(Data!R262&lt;&gt;"",Data!L262="Accept&amp;#233;"),Data!L262,"")</f>
      </c>
      <c r="C432" s="63">
        <f>IF(D432&lt;&gt;"","S"&amp;TEXT(WEEKNUM(D432),"00"),"")</f>
      </c>
      <c r="D432" s="42">
        <f>IF(AND(Data!Q262&lt;&gt;"",Data!L262="Accept&amp;#233;"),Data!Q262,"")</f>
        <v>25569.041666666668</v>
      </c>
      <c r="E432" s="64">
        <f>IF(AND(Data!R262&lt;&gt;"",Data!L262="Accept&amp;#233;"),Data!R262,"")</f>
      </c>
      <c r="F432" s="65">
        <f>IF(AND(Data!R262&lt;&gt;"",Data!L262="Accept&amp;#233;"),Data!S262,"")</f>
      </c>
      <c r="G432" s="66">
        <f>IF(Data!R262='Delivery Plan'!E432,Data!U262,"")</f>
      </c>
      <c r="H432" s="53"/>
      <c r="I432" s="63">
        <f>IF(J432&lt;&gt;"","S"&amp;TEXT(WEEKNUM(J432),"00"),"")</f>
      </c>
      <c r="J432" s="42">
        <f>IF(AND(E432=Data!R262,Data!AA262&lt;&gt;""),Data!AA262,"")</f>
        <v>25569.041666666668</v>
      </c>
      <c r="K432" s="67">
        <f>IF(AND(E432=Data!R262,Data!AE262&lt;&gt;""),Data!AE262,"")</f>
        <v>25569.041666666668</v>
      </c>
      <c r="L432" s="68">
        <f>IF(E432=Data!R274,Data!AI274,"")</f>
      </c>
      <c r="M432" s="68">
        <f>IF(E432=Data!R274,Data!AJ274,"")</f>
      </c>
      <c r="N432" s="69">
        <f>IF(AND(Data!R274&lt;&gt;"",Data!L274="Accept&amp;#233;"),Data!K274,"")</f>
      </c>
    </row>
    <row x14ac:dyDescent="0.25" r="433" customHeight="1" ht="19.5" hidden="1">
      <c r="A433" s="62">
        <f>IF(AND(Data!R263&lt;&gt;"",Data!L263="Accept&amp;#233;"),Data!G263,"")</f>
      </c>
      <c r="B433" s="62">
        <f>IF(AND(Data!R263&lt;&gt;"",Data!L263="Accept&amp;#233;"),Data!L263,"")</f>
      </c>
      <c r="C433" s="63">
        <f>IF(D433&lt;&gt;"","S"&amp;TEXT(WEEKNUM(D433),"00"),"")</f>
      </c>
      <c r="D433" s="42">
        <f>IF(AND(Data!Q263&lt;&gt;"",Data!L263="Accept&amp;#233;"),Data!Q263,"")</f>
        <v>25569.041666666668</v>
      </c>
      <c r="E433" s="64">
        <f>IF(AND(Data!R263&lt;&gt;"",Data!L263="Accept&amp;#233;"),Data!R263,"")</f>
      </c>
      <c r="F433" s="65">
        <f>IF(AND(Data!R263&lt;&gt;"",Data!L263="Accept&amp;#233;"),Data!S263,"")</f>
      </c>
      <c r="G433" s="66">
        <f>IF(Data!R263='Delivery Plan'!E433,Data!U263,"")</f>
      </c>
      <c r="H433" s="53"/>
      <c r="I433" s="63">
        <f>IF(J433&lt;&gt;"","S"&amp;TEXT(WEEKNUM(J433),"00"),"")</f>
      </c>
      <c r="J433" s="42">
        <f>IF(AND(E433=Data!R263,Data!AA263&lt;&gt;""),Data!AA263,"")</f>
        <v>25569.041666666668</v>
      </c>
      <c r="K433" s="67">
        <f>IF(AND(E433=Data!R263,Data!AE263&lt;&gt;""),Data!AE263,"")</f>
        <v>25569.041666666668</v>
      </c>
      <c r="L433" s="68">
        <f>IF(E433=Data!R275,Data!AI275,"")</f>
      </c>
      <c r="M433" s="68">
        <f>IF(E433=Data!R275,Data!AJ275,"")</f>
      </c>
      <c r="N433" s="69">
        <f>IF(AND(Data!R275&lt;&gt;"",Data!L275="Accept&amp;#233;"),Data!K275,"")</f>
      </c>
    </row>
    <row x14ac:dyDescent="0.25" r="434" customHeight="1" ht="19.5" hidden="1">
      <c r="A434" s="62">
        <f>IF(AND(Data!R264&lt;&gt;"",Data!L264="Accept&amp;#233;"),Data!G264,"")</f>
      </c>
      <c r="B434" s="62">
        <f>IF(AND(Data!R264&lt;&gt;"",Data!L264="Accept&amp;#233;"),Data!L264,"")</f>
      </c>
      <c r="C434" s="63">
        <f>IF(D434&lt;&gt;"","S"&amp;TEXT(WEEKNUM(D434),"00"),"")</f>
      </c>
      <c r="D434" s="42">
        <f>IF(AND(Data!Q264&lt;&gt;"",Data!L264="Accept&amp;#233;"),Data!Q264,"")</f>
        <v>25569.041666666668</v>
      </c>
      <c r="E434" s="64">
        <f>IF(AND(Data!R264&lt;&gt;"",Data!L264="Accept&amp;#233;"),Data!R264,"")</f>
      </c>
      <c r="F434" s="65">
        <f>IF(AND(Data!R264&lt;&gt;"",Data!L264="Accept&amp;#233;"),Data!S264,"")</f>
      </c>
      <c r="G434" s="66">
        <f>IF(Data!R264='Delivery Plan'!E434,Data!U264,"")</f>
      </c>
      <c r="H434" s="53"/>
      <c r="I434" s="63">
        <f>IF(J434&lt;&gt;"","S"&amp;TEXT(WEEKNUM(J434),"00"),"")</f>
      </c>
      <c r="J434" s="42">
        <f>IF(AND(E434=Data!R264,Data!AA264&lt;&gt;""),Data!AA264,"")</f>
        <v>25569.041666666668</v>
      </c>
      <c r="K434" s="67">
        <f>IF(AND(E434=Data!R264,Data!AE264&lt;&gt;""),Data!AE264,"")</f>
        <v>25569.041666666668</v>
      </c>
      <c r="L434" s="68">
        <f>IF(E434=Data!R276,Data!AI276,"")</f>
      </c>
      <c r="M434" s="68">
        <f>IF(E434=Data!R276,Data!AJ276,"")</f>
      </c>
      <c r="N434" s="69">
        <f>IF(AND(Data!R276&lt;&gt;"",Data!L276="Accept&amp;#233;"),Data!K276,"")</f>
      </c>
    </row>
    <row x14ac:dyDescent="0.25" r="435" customHeight="1" ht="19.5" hidden="1">
      <c r="A435" s="62">
        <f>IF(AND(Data!R265&lt;&gt;"",Data!L265="Accept&amp;#233;"),Data!G265,"")</f>
      </c>
      <c r="B435" s="62">
        <f>IF(AND(Data!R265&lt;&gt;"",Data!L265="Accept&amp;#233;"),Data!L265,"")</f>
      </c>
      <c r="C435" s="63">
        <f>IF(D435&lt;&gt;"","S"&amp;TEXT(WEEKNUM(D435),"00"),"")</f>
      </c>
      <c r="D435" s="42">
        <f>IF(AND(Data!Q265&lt;&gt;"",Data!L265="Accept&amp;#233;"),Data!Q265,"")</f>
        <v>25569.041666666668</v>
      </c>
      <c r="E435" s="64">
        <f>IF(AND(Data!R265&lt;&gt;"",Data!L265="Accept&amp;#233;"),Data!R265,"")</f>
      </c>
      <c r="F435" s="65">
        <f>IF(AND(Data!R265&lt;&gt;"",Data!L265="Accept&amp;#233;"),Data!S265,"")</f>
      </c>
      <c r="G435" s="66">
        <f>IF(Data!R265='Delivery Plan'!E435,Data!U265,"")</f>
      </c>
      <c r="H435" s="53"/>
      <c r="I435" s="63">
        <f>IF(J435&lt;&gt;"","S"&amp;TEXT(WEEKNUM(J435),"00"),"")</f>
      </c>
      <c r="J435" s="42">
        <f>IF(AND(E435=Data!R265,Data!AA265&lt;&gt;""),Data!AA265,"")</f>
        <v>25569.041666666668</v>
      </c>
      <c r="K435" s="67">
        <f>IF(AND(E435=Data!R265,Data!AE265&lt;&gt;""),Data!AE265,"")</f>
        <v>25569.041666666668</v>
      </c>
      <c r="L435" s="68">
        <f>IF(E435=Data!R277,Data!AI277,"")</f>
      </c>
      <c r="M435" s="68">
        <f>IF(E435=Data!R277,Data!AJ277,"")</f>
      </c>
      <c r="N435" s="69">
        <f>IF(AND(Data!R277&lt;&gt;"",Data!L277="Accept&amp;#233;"),Data!K277,"")</f>
      </c>
    </row>
    <row x14ac:dyDescent="0.25" r="436" customHeight="1" ht="19.5" hidden="1">
      <c r="A436" s="62">
        <f>IF(AND(Data!R266&lt;&gt;"",Data!L266="Accept&amp;#233;"),Data!G266,"")</f>
      </c>
      <c r="B436" s="62">
        <f>IF(AND(Data!R266&lt;&gt;"",Data!L266="Accept&amp;#233;"),Data!L266,"")</f>
      </c>
      <c r="C436" s="63">
        <f>IF(D436&lt;&gt;"","S"&amp;TEXT(WEEKNUM(D436),"00"),"")</f>
      </c>
      <c r="D436" s="42">
        <f>IF(AND(Data!Q266&lt;&gt;"",Data!L266="Accept&amp;#233;"),Data!Q266,"")</f>
        <v>25569.041666666668</v>
      </c>
      <c r="E436" s="64">
        <f>IF(AND(Data!R266&lt;&gt;"",Data!L266="Accept&amp;#233;"),Data!R266,"")</f>
      </c>
      <c r="F436" s="65">
        <f>IF(AND(Data!R266&lt;&gt;"",Data!L266="Accept&amp;#233;"),Data!S266,"")</f>
      </c>
      <c r="G436" s="66">
        <f>IF(Data!R266='Delivery Plan'!E436,Data!U266,"")</f>
      </c>
      <c r="H436" s="53"/>
      <c r="I436" s="63">
        <f>IF(J436&lt;&gt;"","S"&amp;TEXT(WEEKNUM(J436),"00"),"")</f>
      </c>
      <c r="J436" s="42">
        <f>IF(AND(E436=Data!R266,Data!AA266&lt;&gt;""),Data!AA266,"")</f>
        <v>25569.041666666668</v>
      </c>
      <c r="K436" s="67">
        <f>IF(AND(E436=Data!R266,Data!AE266&lt;&gt;""),Data!AE266,"")</f>
        <v>25569.041666666668</v>
      </c>
      <c r="L436" s="68">
        <f>IF(E436=Data!R278,Data!AI278,"")</f>
      </c>
      <c r="M436" s="68">
        <f>IF(E436=Data!R278,Data!AJ278,"")</f>
      </c>
      <c r="N436" s="69">
        <f>IF(AND(Data!R278&lt;&gt;"",Data!L278="Accept&amp;#233;"),Data!K278,"")</f>
      </c>
    </row>
    <row x14ac:dyDescent="0.25" r="437" customHeight="1" ht="19.5" hidden="1">
      <c r="A437" s="62">
        <f>IF(AND(Data!R279&lt;&gt;"",Data!L279="Accept&amp;#233;"),Data!G279,"")</f>
      </c>
      <c r="B437" s="62">
        <f>IF(AND(Data!R279&lt;&gt;"",Data!L279="Accept&amp;#233;"),Data!L279,"")</f>
      </c>
      <c r="C437" s="63">
        <f>IF(D437&lt;&gt;"","S"&amp;TEXT(WEEKNUM(D437),"00"),"")</f>
      </c>
      <c r="D437" s="42">
        <f>IF(AND(Data!Q279&lt;&gt;"",Data!L279="Accept&amp;#233;"),Data!Q279,"")</f>
        <v>25569.041666666668</v>
      </c>
      <c r="E437" s="64">
        <f>IF(AND(Data!R279&lt;&gt;"",Data!L279="Accept&amp;#233;"),Data!R279,"")</f>
      </c>
      <c r="F437" s="65">
        <f>IF(AND(Data!R279&lt;&gt;"",Data!L279="Accept&amp;#233;"),Data!S279,"")</f>
      </c>
      <c r="G437" s="66">
        <f>IF(Data!R279='Delivery Plan'!E437,Data!U279,"")</f>
      </c>
      <c r="H437" s="53"/>
      <c r="I437" s="63">
        <f>IF(J437&lt;&gt;"","S"&amp;TEXT(WEEKNUM(J437),"00"),"")</f>
      </c>
      <c r="J437" s="42">
        <f>IF(AND(E437=Data!R267,Data!AA267&lt;&gt;""),Data!AA267,"")</f>
        <v>25569.041666666668</v>
      </c>
      <c r="K437" s="67">
        <f>IF(AND(E437=Data!R267,Data!AE267&lt;&gt;""),Data!AE267,"")</f>
        <v>25569.041666666668</v>
      </c>
      <c r="L437" s="68">
        <f>IF(E437=Data!R279,Data!AI279,"")</f>
      </c>
      <c r="M437" s="68">
        <f>IF(E437=Data!R279,Data!AJ279,"")</f>
      </c>
      <c r="N437" s="69">
        <f>IF(AND(Data!R279&lt;&gt;"",Data!L279="Accept&amp;#233;"),Data!K279,"")</f>
      </c>
    </row>
    <row x14ac:dyDescent="0.25" r="438" customHeight="1" ht="19.5" hidden="1">
      <c r="A438" s="62">
        <f>IF(AND(Data!R280&lt;&gt;"",Data!L280="Accept&amp;#233;"),Data!G280,"")</f>
      </c>
      <c r="B438" s="62">
        <f>IF(AND(Data!R280&lt;&gt;"",Data!L280="Accept&amp;#233;"),Data!L280,"")</f>
      </c>
      <c r="C438" s="63">
        <f>IF(D438&lt;&gt;"","S"&amp;TEXT(WEEKNUM(D438),"00"),"")</f>
      </c>
      <c r="D438" s="42">
        <f>IF(AND(Data!Q280&lt;&gt;"",Data!L280="Accept&amp;#233;"),Data!Q280,"")</f>
        <v>25569.041666666668</v>
      </c>
      <c r="E438" s="64">
        <f>IF(AND(Data!R280&lt;&gt;"",Data!L280="Accept&amp;#233;"),Data!R280,"")</f>
      </c>
      <c r="F438" s="65">
        <f>IF(AND(Data!R280&lt;&gt;"",Data!L280="Accept&amp;#233;"),Data!S280,"")</f>
      </c>
      <c r="G438" s="66">
        <f>IF(Data!R280='Delivery Plan'!E438,Data!U280,"")</f>
      </c>
      <c r="H438" s="53"/>
      <c r="I438" s="63">
        <f>IF(J438&lt;&gt;"","S"&amp;TEXT(WEEKNUM(J438),"00"),"")</f>
      </c>
      <c r="J438" s="42">
        <f>IF(AND(E438=Data!R268,Data!AA268&lt;&gt;""),Data!AA268,"")</f>
        <v>25569.041666666668</v>
      </c>
      <c r="K438" s="67">
        <f>IF(AND(E438=Data!R268,Data!AE268&lt;&gt;""),Data!AE268,"")</f>
        <v>25569.041666666668</v>
      </c>
      <c r="L438" s="68">
        <f>IF(E438=Data!R280,Data!AI280,"")</f>
      </c>
      <c r="M438" s="68">
        <f>IF(E438=Data!R280,Data!AJ280,"")</f>
      </c>
      <c r="N438" s="69">
        <f>IF(AND(Data!R280&lt;&gt;"",Data!L280="Accept&amp;#233;"),Data!K280,"")</f>
      </c>
    </row>
    <row x14ac:dyDescent="0.25" r="439" customHeight="1" ht="19.5" hidden="1">
      <c r="A439" s="62">
        <f>IF(AND(Data!R281&lt;&gt;"",Data!L281="Accept&amp;#233;"),Data!G281,"")</f>
      </c>
      <c r="B439" s="62">
        <f>IF(AND(Data!R281&lt;&gt;"",Data!L281="Accept&amp;#233;"),Data!L281,"")</f>
      </c>
      <c r="C439" s="63">
        <f>IF(D439&lt;&gt;"","S"&amp;TEXT(WEEKNUM(D439),"00"),"")</f>
      </c>
      <c r="D439" s="42">
        <f>IF(AND(Data!Q281&lt;&gt;"",Data!L281="Accept&amp;#233;"),Data!Q281,"")</f>
        <v>25569.041666666668</v>
      </c>
      <c r="E439" s="64">
        <f>IF(AND(Data!R281&lt;&gt;"",Data!L281="Accept&amp;#233;"),Data!R281,"")</f>
      </c>
      <c r="F439" s="65">
        <f>IF(AND(Data!R281&lt;&gt;"",Data!L281="Accept&amp;#233;"),Data!S281,"")</f>
      </c>
      <c r="G439" s="66">
        <f>IF(Data!R281='Delivery Plan'!E439,Data!U281,"")</f>
      </c>
      <c r="H439" s="53"/>
      <c r="I439" s="63">
        <f>IF(J439&lt;&gt;"","S"&amp;TEXT(WEEKNUM(J439),"00"),"")</f>
      </c>
      <c r="J439" s="42">
        <f>IF(AND(E439=Data!R269,Data!AA269&lt;&gt;""),Data!AA269,"")</f>
        <v>25569.041666666668</v>
      </c>
      <c r="K439" s="67">
        <f>IF(AND(E439=Data!R269,Data!AE269&lt;&gt;""),Data!AE269,"")</f>
        <v>25569.041666666668</v>
      </c>
      <c r="L439" s="68">
        <f>IF(E439=Data!R281,Data!AI281,"")</f>
      </c>
      <c r="M439" s="68">
        <f>IF(E439=Data!R281,Data!AJ281,"")</f>
      </c>
      <c r="N439" s="69">
        <f>IF(AND(Data!R281&lt;&gt;"",Data!L281="Accept&amp;#233;"),Data!K281,"")</f>
      </c>
    </row>
    <row x14ac:dyDescent="0.25" r="440" customHeight="1" ht="19.5" hidden="1">
      <c r="A440" s="62">
        <f>IF(AND(Data!R282&lt;&gt;"",Data!L282="Accept&amp;#233;"),Data!G282,"")</f>
      </c>
      <c r="B440" s="62">
        <f>IF(AND(Data!R282&lt;&gt;"",Data!L282="Accept&amp;#233;"),Data!L282,"")</f>
      </c>
      <c r="C440" s="63">
        <f>IF(D440&lt;&gt;"","S"&amp;TEXT(WEEKNUM(D440),"00"),"")</f>
      </c>
      <c r="D440" s="42">
        <f>IF(AND(Data!Q282&lt;&gt;"",Data!L282="Accept&amp;#233;"),Data!Q282,"")</f>
        <v>25569.041666666668</v>
      </c>
      <c r="E440" s="64">
        <f>IF(AND(Data!R282&lt;&gt;"",Data!L282="Accept&amp;#233;"),Data!R282,"")</f>
      </c>
      <c r="F440" s="65">
        <f>IF(AND(Data!R282&lt;&gt;"",Data!L282="Accept&amp;#233;"),Data!S282,"")</f>
      </c>
      <c r="G440" s="66">
        <f>IF(Data!R282='Delivery Plan'!E440,Data!U282,"")</f>
      </c>
      <c r="H440" s="53"/>
      <c r="I440" s="63">
        <f>IF(J440&lt;&gt;"","S"&amp;TEXT(WEEKNUM(J440),"00"),"")</f>
      </c>
      <c r="J440" s="42">
        <f>IF(AND(E440=Data!R270,Data!AA270&lt;&gt;""),Data!AA270,"")</f>
        <v>25569.041666666668</v>
      </c>
      <c r="K440" s="67">
        <f>IF(AND(E440=Data!R270,Data!AE270&lt;&gt;""),Data!AE270,"")</f>
        <v>25569.041666666668</v>
      </c>
      <c r="L440" s="68">
        <f>IF(E440=Data!R282,Data!AI282,"")</f>
      </c>
      <c r="M440" s="68">
        <f>IF(E440=Data!R282,Data!AJ282,"")</f>
      </c>
      <c r="N440" s="69">
        <f>IF(AND(Data!R282&lt;&gt;"",Data!L282="Accept&amp;#233;"),Data!K282,"")</f>
      </c>
    </row>
    <row x14ac:dyDescent="0.25" r="441" customHeight="1" ht="19.5" hidden="1">
      <c r="A441" s="62">
        <f>IF(AND(Data!R283&lt;&gt;"",Data!L283="Accept&amp;#233;"),Data!G283,"")</f>
      </c>
      <c r="B441" s="62">
        <f>IF(AND(Data!R283&lt;&gt;"",Data!L283="Accept&amp;#233;"),Data!L283,"")</f>
      </c>
      <c r="C441" s="63">
        <f>IF(D441&lt;&gt;"","S"&amp;TEXT(WEEKNUM(D441),"00"),"")</f>
      </c>
      <c r="D441" s="42">
        <f>IF(AND(Data!Q283&lt;&gt;"",Data!L283="Accept&amp;#233;"),Data!Q283,"")</f>
        <v>25569.041666666668</v>
      </c>
      <c r="E441" s="64">
        <f>IF(AND(Data!R283&lt;&gt;"",Data!L283="Accept&amp;#233;"),Data!R283,"")</f>
      </c>
      <c r="F441" s="65">
        <f>IF(AND(Data!R283&lt;&gt;"",Data!L283="Accept&amp;#233;"),Data!S283,"")</f>
      </c>
      <c r="G441" s="66">
        <f>IF(Data!R283='Delivery Plan'!E441,Data!U283,"")</f>
      </c>
      <c r="H441" s="53"/>
      <c r="I441" s="63">
        <f>IF(J441&lt;&gt;"","S"&amp;TEXT(WEEKNUM(J441),"00"),"")</f>
      </c>
      <c r="J441" s="42">
        <f>IF(AND(E441=Data!R271,Data!AA271&lt;&gt;""),Data!AA271,"")</f>
        <v>25569.041666666668</v>
      </c>
      <c r="K441" s="67">
        <f>IF(AND(E441=Data!R271,Data!AE271&lt;&gt;""),Data!AE271,"")</f>
        <v>25569.041666666668</v>
      </c>
      <c r="L441" s="68">
        <f>IF(E441=Data!R283,Data!AI283,"")</f>
      </c>
      <c r="M441" s="68">
        <f>IF(E441=Data!R283,Data!AJ283,"")</f>
      </c>
      <c r="N441" s="69">
        <f>IF(AND(Data!R283&lt;&gt;"",Data!L283="Accept&amp;#233;"),Data!K283,"")</f>
      </c>
    </row>
    <row x14ac:dyDescent="0.25" r="442" customHeight="1" ht="19.5" hidden="1">
      <c r="A442" s="62">
        <f>IF(AND(Data!R284&lt;&gt;"",Data!L284="Accept&amp;#233;"),Data!G284,"")</f>
      </c>
      <c r="B442" s="62">
        <f>IF(AND(Data!R284&lt;&gt;"",Data!L284="Accept&amp;#233;"),Data!L284,"")</f>
      </c>
      <c r="C442" s="63">
        <f>IF(D442&lt;&gt;"","S"&amp;TEXT(WEEKNUM(D442),"00"),"")</f>
      </c>
      <c r="D442" s="42">
        <f>IF(AND(Data!Q284&lt;&gt;"",Data!L284="Accept&amp;#233;"),Data!Q284,"")</f>
        <v>25569.041666666668</v>
      </c>
      <c r="E442" s="64">
        <f>IF(AND(Data!R284&lt;&gt;"",Data!L284="Accept&amp;#233;"),Data!R284,"")</f>
      </c>
      <c r="F442" s="65">
        <f>IF(AND(Data!R284&lt;&gt;"",Data!L284="Accept&amp;#233;"),Data!S284,"")</f>
      </c>
      <c r="G442" s="66">
        <f>IF(Data!R284='Delivery Plan'!E442,Data!U284,"")</f>
      </c>
      <c r="H442" s="53"/>
      <c r="I442" s="63">
        <f>IF(J442&lt;&gt;"","S"&amp;TEXT(WEEKNUM(J442),"00"),"")</f>
      </c>
      <c r="J442" s="42">
        <f>IF(AND(E442=Data!R272,Data!AA272&lt;&gt;""),Data!AA272,"")</f>
        <v>25569.041666666668</v>
      </c>
      <c r="K442" s="67">
        <f>IF(AND(E442=Data!R272,Data!AE272&lt;&gt;""),Data!AE272,"")</f>
        <v>25569.041666666668</v>
      </c>
      <c r="L442" s="68">
        <f>IF(E442=Data!R284,Data!AI284,"")</f>
      </c>
      <c r="M442" s="68">
        <f>IF(E442=Data!R284,Data!AJ284,"")</f>
      </c>
      <c r="N442" s="69">
        <f>IF(AND(Data!R284&lt;&gt;"",Data!L284="Accept&amp;#233;"),Data!K284,"")</f>
      </c>
    </row>
    <row x14ac:dyDescent="0.25" r="443" customHeight="1" ht="19.5" hidden="1">
      <c r="A443" s="62">
        <f>IF(AND(Data!R285&lt;&gt;"",Data!L285="Accept&amp;#233;"),Data!G285,"")</f>
      </c>
      <c r="B443" s="62">
        <f>IF(AND(Data!R285&lt;&gt;"",Data!L285="Accept&amp;#233;"),Data!L285,"")</f>
      </c>
      <c r="C443" s="63">
        <f>IF(D443&lt;&gt;"","S"&amp;TEXT(WEEKNUM(D443),"00"),"")</f>
      </c>
      <c r="D443" s="42">
        <f>IF(AND(Data!Q285&lt;&gt;"",Data!L285="Accept&amp;#233;"),Data!Q285,"")</f>
        <v>25569.041666666668</v>
      </c>
      <c r="E443" s="64">
        <f>IF(AND(Data!R285&lt;&gt;"",Data!L285="Accept&amp;#233;"),Data!R285,"")</f>
      </c>
      <c r="F443" s="65">
        <f>IF(AND(Data!R285&lt;&gt;"",Data!L285="Accept&amp;#233;"),Data!S285,"")</f>
      </c>
      <c r="G443" s="66">
        <f>IF(Data!R285='Delivery Plan'!E443,Data!U285,"")</f>
      </c>
      <c r="H443" s="53"/>
      <c r="I443" s="63">
        <f>IF(J443&lt;&gt;"","S"&amp;TEXT(WEEKNUM(J443),"00"),"")</f>
      </c>
      <c r="J443" s="42">
        <f>IF(AND(E443=Data!R273,Data!AA273&lt;&gt;""),Data!AA273,"")</f>
        <v>25569.041666666668</v>
      </c>
      <c r="K443" s="67">
        <f>IF(AND(E443=Data!R273,Data!AE273&lt;&gt;""),Data!AE273,"")</f>
        <v>25569.041666666668</v>
      </c>
      <c r="L443" s="68">
        <f>IF(E443=Data!R285,Data!AI285,"")</f>
      </c>
      <c r="M443" s="68">
        <f>IF(E443=Data!R285,Data!AJ285,"")</f>
      </c>
      <c r="N443" s="69">
        <f>IF(AND(Data!R285&lt;&gt;"",Data!L285="Accept&amp;#233;"),Data!K285,"")</f>
      </c>
    </row>
    <row x14ac:dyDescent="0.25" r="444" customHeight="1" ht="19.5" hidden="1">
      <c r="A444" s="62">
        <f>IF(AND(Data!R286&lt;&gt;"",Data!L286="Accept&amp;#233;"),Data!G286,"")</f>
      </c>
      <c r="B444" s="62">
        <f>IF(AND(Data!R286&lt;&gt;"",Data!L286="Accept&amp;#233;"),Data!L286,"")</f>
      </c>
      <c r="C444" s="63">
        <f>IF(D444&lt;&gt;"","S"&amp;TEXT(WEEKNUM(D444),"00"),"")</f>
      </c>
      <c r="D444" s="42">
        <f>IF(AND(Data!Q286&lt;&gt;"",Data!L286="Accept&amp;#233;"),Data!Q286,"")</f>
        <v>25569.041666666668</v>
      </c>
      <c r="E444" s="64">
        <f>IF(AND(Data!R286&lt;&gt;"",Data!L286="Accept&amp;#233;"),Data!R286,"")</f>
      </c>
      <c r="F444" s="65">
        <f>IF(AND(Data!R286&lt;&gt;"",Data!L286="Accept&amp;#233;"),Data!S286,"")</f>
      </c>
      <c r="G444" s="66">
        <f>IF(Data!R286='Delivery Plan'!E444,Data!U286,"")</f>
      </c>
      <c r="H444" s="53"/>
      <c r="I444" s="63">
        <f>IF(J444&lt;&gt;"","S"&amp;TEXT(WEEKNUM(J444),"00"),"")</f>
      </c>
      <c r="J444" s="42">
        <f>IF(AND(E444=Data!R274,Data!AA274&lt;&gt;""),Data!AA274,"")</f>
        <v>25569.041666666668</v>
      </c>
      <c r="K444" s="67">
        <f>IF(AND(E444=Data!R274,Data!AE274&lt;&gt;""),Data!AE274,"")</f>
        <v>25569.041666666668</v>
      </c>
      <c r="L444" s="68">
        <f>IF(E444=Data!R286,Data!AI286,"")</f>
      </c>
      <c r="M444" s="68">
        <f>IF(E444=Data!R286,Data!AJ286,"")</f>
      </c>
      <c r="N444" s="69">
        <f>IF(AND(Data!R286&lt;&gt;"",Data!L286="Accept&amp;#233;"),Data!K286,"")</f>
      </c>
    </row>
    <row x14ac:dyDescent="0.25" r="445" customHeight="1" ht="19.5" hidden="1">
      <c r="A445" s="62">
        <f>IF(AND(Data!R287&lt;&gt;"",Data!L287="Accept&amp;#233;"),Data!G287,"")</f>
      </c>
      <c r="B445" s="62">
        <f>IF(AND(Data!R287&lt;&gt;"",Data!L287="Accept&amp;#233;"),Data!L287,"")</f>
      </c>
      <c r="C445" s="63">
        <f>IF(D445&lt;&gt;"","S"&amp;TEXT(WEEKNUM(D445),"00"),"")</f>
      </c>
      <c r="D445" s="42">
        <f>IF(AND(Data!Q287&lt;&gt;"",Data!L287="Accept&amp;#233;"),Data!Q287,"")</f>
        <v>25569.041666666668</v>
      </c>
      <c r="E445" s="64">
        <f>IF(AND(Data!R287&lt;&gt;"",Data!L287="Accept&amp;#233;"),Data!R287,"")</f>
      </c>
      <c r="F445" s="65">
        <f>IF(AND(Data!R287&lt;&gt;"",Data!L287="Accept&amp;#233;"),Data!S287,"")</f>
      </c>
      <c r="G445" s="66">
        <f>IF(Data!R287='Delivery Plan'!E445,Data!U287,"")</f>
      </c>
      <c r="H445" s="53"/>
      <c r="I445" s="63">
        <f>IF(J445&lt;&gt;"","S"&amp;TEXT(WEEKNUM(J445),"00"),"")</f>
      </c>
      <c r="J445" s="42">
        <f>IF(AND(E445=Data!R275,Data!AA275&lt;&gt;""),Data!AA275,"")</f>
        <v>25569.041666666668</v>
      </c>
      <c r="K445" s="67">
        <f>IF(AND(E445=Data!R275,Data!AE275&lt;&gt;""),Data!AE275,"")</f>
        <v>25569.041666666668</v>
      </c>
      <c r="L445" s="68">
        <f>IF(E445=Data!R287,Data!AI287,"")</f>
      </c>
      <c r="M445" s="68">
        <f>IF(E445=Data!R287,Data!AJ287,"")</f>
      </c>
      <c r="N445" s="69">
        <f>IF(AND(Data!R287&lt;&gt;"",Data!L287="Accept&amp;#233;"),Data!K287,"")</f>
      </c>
    </row>
    <row x14ac:dyDescent="0.25" r="446" customHeight="1" ht="19.5" hidden="1">
      <c r="A446" s="62">
        <f>IF(AND(Data!R288&lt;&gt;"",Data!L288="Accept&amp;#233;"),Data!G288,"")</f>
      </c>
      <c r="B446" s="62">
        <f>IF(AND(Data!R288&lt;&gt;"",Data!L288="Accept&amp;#233;"),Data!L288,"")</f>
      </c>
      <c r="C446" s="63">
        <f>IF(D446&lt;&gt;"","S"&amp;TEXT(WEEKNUM(D446),"00"),"")</f>
      </c>
      <c r="D446" s="42">
        <f>IF(AND(Data!Q288&lt;&gt;"",Data!L288="Accept&amp;#233;"),Data!Q288,"")</f>
        <v>25569.041666666668</v>
      </c>
      <c r="E446" s="64">
        <f>IF(AND(Data!R288&lt;&gt;"",Data!L288="Accept&amp;#233;"),Data!R288,"")</f>
      </c>
      <c r="F446" s="65">
        <f>IF(AND(Data!R288&lt;&gt;"",Data!L288="Accept&amp;#233;"),Data!S288,"")</f>
      </c>
      <c r="G446" s="66">
        <f>IF(Data!R288='Delivery Plan'!E446,Data!U288,"")</f>
      </c>
      <c r="H446" s="53"/>
      <c r="I446" s="63">
        <f>IF(J446&lt;&gt;"","S"&amp;TEXT(WEEKNUM(J446),"00"),"")</f>
      </c>
      <c r="J446" s="42">
        <f>IF(AND(E446=Data!R276,Data!AA276&lt;&gt;""),Data!AA276,"")</f>
        <v>25569.041666666668</v>
      </c>
      <c r="K446" s="67">
        <f>IF(AND(E446=Data!R276,Data!AE276&lt;&gt;""),Data!AE276,"")</f>
        <v>25569.041666666668</v>
      </c>
      <c r="L446" s="68">
        <f>IF(E446=Data!R288,Data!AI288,"")</f>
      </c>
      <c r="M446" s="68">
        <f>IF(E446=Data!R288,Data!AJ288,"")</f>
      </c>
      <c r="N446" s="69">
        <f>IF(AND(Data!R288&lt;&gt;"",Data!L288="Accept&amp;#233;"),Data!K288,"")</f>
      </c>
    </row>
    <row x14ac:dyDescent="0.25" r="447" customHeight="1" ht="19.5" hidden="1">
      <c r="A447" s="62">
        <f>IF(AND(Data!R289&lt;&gt;"",Data!L289="Accept&amp;#233;"),Data!G289,"")</f>
      </c>
      <c r="B447" s="62">
        <f>IF(AND(Data!R289&lt;&gt;"",Data!L289="Accept&amp;#233;"),Data!L289,"")</f>
      </c>
      <c r="C447" s="63">
        <f>IF(D447&lt;&gt;"","S"&amp;TEXT(WEEKNUM(D447),"00"),"")</f>
      </c>
      <c r="D447" s="42">
        <f>IF(AND(Data!Q289&lt;&gt;"",Data!L289="Accept&amp;#233;"),Data!Q289,"")</f>
        <v>25569.041666666668</v>
      </c>
      <c r="E447" s="64">
        <f>IF(AND(Data!R289&lt;&gt;"",Data!L289="Accept&amp;#233;"),Data!R289,"")</f>
      </c>
      <c r="F447" s="65">
        <f>IF(AND(Data!R289&lt;&gt;"",Data!L289="Accept&amp;#233;"),Data!S289,"")</f>
      </c>
      <c r="G447" s="66">
        <f>IF(Data!R289='Delivery Plan'!E447,Data!U289,"")</f>
      </c>
      <c r="H447" s="53"/>
      <c r="I447" s="63">
        <f>IF(J447&lt;&gt;"","S"&amp;TEXT(WEEKNUM(J447),"00"),"")</f>
      </c>
      <c r="J447" s="42">
        <f>IF(AND(E447=Data!R277,Data!AA277&lt;&gt;""),Data!AA277,"")</f>
        <v>25569.041666666668</v>
      </c>
      <c r="K447" s="67">
        <f>IF(AND(E447=Data!R277,Data!AE277&lt;&gt;""),Data!AE277,"")</f>
        <v>25569.041666666668</v>
      </c>
      <c r="L447" s="68">
        <f>IF(E447=Data!R289,Data!AI289,"")</f>
      </c>
      <c r="M447" s="68">
        <f>IF(E447=Data!R289,Data!AJ289,"")</f>
      </c>
      <c r="N447" s="69">
        <f>IF(AND(Data!R289&lt;&gt;"",Data!L289="Accept&amp;#233;"),Data!K289,"")</f>
      </c>
    </row>
    <row x14ac:dyDescent="0.25" r="448" customHeight="1" ht="19.5" hidden="1">
      <c r="A448" s="62">
        <f>IF(AND(Data!R290&lt;&gt;"",Data!L290="Accept&amp;#233;"),Data!G290,"")</f>
      </c>
      <c r="B448" s="62">
        <f>IF(AND(Data!R290&lt;&gt;"",Data!L290="Accept&amp;#233;"),Data!L290,"")</f>
      </c>
      <c r="C448" s="63">
        <f>IF(D448&lt;&gt;"","S"&amp;TEXT(WEEKNUM(D448),"00"),"")</f>
      </c>
      <c r="D448" s="42">
        <f>IF(AND(Data!Q290&lt;&gt;"",Data!L290="Accept&amp;#233;"),Data!Q290,"")</f>
        <v>25569.041666666668</v>
      </c>
      <c r="E448" s="64">
        <f>IF(AND(Data!R290&lt;&gt;"",Data!L290="Accept&amp;#233;"),Data!R290,"")</f>
      </c>
      <c r="F448" s="65">
        <f>IF(AND(Data!R290&lt;&gt;"",Data!L290="Accept&amp;#233;"),Data!S290,"")</f>
      </c>
      <c r="G448" s="66">
        <f>IF(Data!R290='Delivery Plan'!E448,Data!U290,"")</f>
      </c>
      <c r="H448" s="53"/>
      <c r="I448" s="63">
        <f>IF(J448&lt;&gt;"","S"&amp;TEXT(WEEKNUM(J448),"00"),"")</f>
      </c>
      <c r="J448" s="42">
        <f>IF(AND(E448=Data!R278,Data!AA278&lt;&gt;""),Data!AA278,"")</f>
        <v>25569.041666666668</v>
      </c>
      <c r="K448" s="67">
        <f>IF(AND(E448=Data!R278,Data!AE278&lt;&gt;""),Data!AE278,"")</f>
        <v>25569.041666666668</v>
      </c>
      <c r="L448" s="68">
        <f>IF(E448=Data!R290,Data!AI290,"")</f>
      </c>
      <c r="M448" s="68">
        <f>IF(E448=Data!R290,Data!AJ290,"")</f>
      </c>
      <c r="N448" s="69">
        <f>IF(AND(Data!R290&lt;&gt;"",Data!L290="Accept&amp;#233;"),Data!K290,"")</f>
      </c>
    </row>
    <row x14ac:dyDescent="0.25" r="449" customHeight="1" ht="19.5" hidden="1">
      <c r="A449" s="62">
        <f>IF(AND(Data!R291&lt;&gt;"",Data!L291="Accept&amp;#233;"),Data!G291,"")</f>
      </c>
      <c r="B449" s="62">
        <f>IF(AND(Data!R291&lt;&gt;"",Data!L291="Accept&amp;#233;"),Data!L291,"")</f>
      </c>
      <c r="C449" s="63">
        <f>IF(D449&lt;&gt;"","S"&amp;TEXT(WEEKNUM(D449),"00"),"")</f>
      </c>
      <c r="D449" s="42">
        <f>IF(AND(Data!Q291&lt;&gt;"",Data!L291="Accept&amp;#233;"),Data!Q291,"")</f>
        <v>25569.041666666668</v>
      </c>
      <c r="E449" s="64">
        <f>IF(AND(Data!R291&lt;&gt;"",Data!L291="Accept&amp;#233;"),Data!R291,"")</f>
      </c>
      <c r="F449" s="65">
        <f>IF(AND(Data!R291&lt;&gt;"",Data!L291="Accept&amp;#233;"),Data!S291,"")</f>
      </c>
      <c r="G449" s="66">
        <f>IF(Data!R291='Delivery Plan'!E449,Data!U291,"")</f>
      </c>
      <c r="H449" s="53"/>
      <c r="I449" s="63">
        <f>IF(J449&lt;&gt;"","S"&amp;TEXT(WEEKNUM(J449),"00"),"")</f>
      </c>
      <c r="J449" s="42">
        <f>IF(AND(E449=Data!R279,Data!AA279&lt;&gt;""),Data!AA279,"")</f>
        <v>25569.041666666668</v>
      </c>
      <c r="K449" s="67">
        <f>IF(AND(E449=Data!R279,Data!AE279&lt;&gt;""),Data!AE279,"")</f>
        <v>25569.041666666668</v>
      </c>
      <c r="L449" s="68">
        <f>IF(E449=Data!R291,Data!AI291,"")</f>
      </c>
      <c r="M449" s="68">
        <f>IF(E449=Data!R291,Data!AJ291,"")</f>
      </c>
      <c r="N449" s="69">
        <f>IF(AND(Data!R291&lt;&gt;"",Data!L291="Accept&amp;#233;"),Data!K291,"")</f>
      </c>
    </row>
    <row x14ac:dyDescent="0.25" r="450" customHeight="1" ht="19.5" hidden="1">
      <c r="A450" s="62">
        <f>IF(AND(Data!R292&lt;&gt;"",Data!L292="Accept&amp;#233;"),Data!G292,"")</f>
      </c>
      <c r="B450" s="62">
        <f>IF(AND(Data!R292&lt;&gt;"",Data!L292="Accept&amp;#233;"),Data!L292,"")</f>
      </c>
      <c r="C450" s="63">
        <f>IF(D450&lt;&gt;"","S"&amp;TEXT(WEEKNUM(D450),"00"),"")</f>
      </c>
      <c r="D450" s="42">
        <f>IF(AND(Data!Q292&lt;&gt;"",Data!L292="Accept&amp;#233;"),Data!Q292,"")</f>
        <v>25569.041666666668</v>
      </c>
      <c r="E450" s="64">
        <f>IF(AND(Data!R292&lt;&gt;"",Data!L292="Accept&amp;#233;"),Data!R292,"")</f>
      </c>
      <c r="F450" s="65">
        <f>IF(AND(Data!R292&lt;&gt;"",Data!L292="Accept&amp;#233;"),Data!S292,"")</f>
      </c>
      <c r="G450" s="66">
        <f>IF(Data!R292='Delivery Plan'!E450,Data!U292,"")</f>
      </c>
      <c r="H450" s="53"/>
      <c r="I450" s="63">
        <f>IF(J450&lt;&gt;"","S"&amp;TEXT(WEEKNUM(J450),"00"),"")</f>
      </c>
      <c r="J450" s="42">
        <f>IF(AND(E450=Data!R280,Data!AA280&lt;&gt;""),Data!AA280,"")</f>
        <v>25569.041666666668</v>
      </c>
      <c r="K450" s="67">
        <f>IF(AND(E450=Data!R280,Data!AE280&lt;&gt;""),Data!AE280,"")</f>
        <v>25569.041666666668</v>
      </c>
      <c r="L450" s="68">
        <f>IF(E450=Data!R292,Data!AI292,"")</f>
      </c>
      <c r="M450" s="68">
        <f>IF(E450=Data!R292,Data!AJ292,"")</f>
      </c>
      <c r="N450" s="69">
        <f>IF(AND(Data!R292&lt;&gt;"",Data!L292="Accept&amp;#233;"),Data!K292,"")</f>
      </c>
    </row>
    <row x14ac:dyDescent="0.25" r="451" customHeight="1" ht="19.5" hidden="1">
      <c r="A451" s="62">
        <f>IF(AND(Data!R293&lt;&gt;"",Data!L293="Accept&amp;#233;"),Data!G293,"")</f>
      </c>
      <c r="B451" s="62">
        <f>IF(AND(Data!R293&lt;&gt;"",Data!L293="Accept&amp;#233;"),Data!L293,"")</f>
      </c>
      <c r="C451" s="63">
        <f>IF(D451&lt;&gt;"","S"&amp;TEXT(WEEKNUM(D451),"00"),"")</f>
      </c>
      <c r="D451" s="42">
        <f>IF(AND(Data!Q293&lt;&gt;"",Data!L293="Accept&amp;#233;"),Data!Q293,"")</f>
        <v>25569.041666666668</v>
      </c>
      <c r="E451" s="64">
        <f>IF(AND(Data!R293&lt;&gt;"",Data!L293="Accept&amp;#233;"),Data!R293,"")</f>
      </c>
      <c r="F451" s="65">
        <f>IF(AND(Data!R293&lt;&gt;"",Data!L293="Accept&amp;#233;"),Data!S293,"")</f>
      </c>
      <c r="G451" s="66">
        <f>IF(Data!R293='Delivery Plan'!E451,Data!U293,"")</f>
      </c>
      <c r="H451" s="53"/>
      <c r="I451" s="63">
        <f>IF(J451&lt;&gt;"","S"&amp;TEXT(WEEKNUM(J451),"00"),"")</f>
      </c>
      <c r="J451" s="42">
        <f>IF(AND(E451=Data!R281,Data!AA281&lt;&gt;""),Data!AA281,"")</f>
        <v>25569.041666666668</v>
      </c>
      <c r="K451" s="67">
        <f>IF(AND(E451=Data!R281,Data!AE281&lt;&gt;""),Data!AE281,"")</f>
        <v>25569.041666666668</v>
      </c>
      <c r="L451" s="68">
        <f>IF(E451=Data!R293,Data!AI293,"")</f>
      </c>
      <c r="M451" s="68">
        <f>IF(E451=Data!R293,Data!AJ293,"")</f>
      </c>
      <c r="N451" s="69">
        <f>IF(AND(Data!R293&lt;&gt;"",Data!L293="Accept&amp;#233;"),Data!K293,"")</f>
      </c>
    </row>
    <row x14ac:dyDescent="0.25" r="452" customHeight="1" ht="19.5" hidden="1">
      <c r="A452" s="62">
        <f>IF(AND(Data!R294&lt;&gt;"",Data!L294="Accept&amp;#233;"),Data!G294,"")</f>
      </c>
      <c r="B452" s="62">
        <f>IF(AND(Data!R294&lt;&gt;"",Data!L294="Accept&amp;#233;"),Data!L294,"")</f>
      </c>
      <c r="C452" s="63">
        <f>IF(D452&lt;&gt;"","S"&amp;TEXT(WEEKNUM(D452),"00"),"")</f>
      </c>
      <c r="D452" s="42">
        <f>IF(AND(Data!Q294&lt;&gt;"",Data!L294="Accept&amp;#233;"),Data!Q294,"")</f>
        <v>25569.041666666668</v>
      </c>
      <c r="E452" s="64">
        <f>IF(AND(Data!R294&lt;&gt;"",Data!L294="Accept&amp;#233;"),Data!R294,"")</f>
      </c>
      <c r="F452" s="65">
        <f>IF(AND(Data!R294&lt;&gt;"",Data!L294="Accept&amp;#233;"),Data!S294,"")</f>
      </c>
      <c r="G452" s="66">
        <f>IF(Data!R294='Delivery Plan'!E452,Data!U294,"")</f>
      </c>
      <c r="H452" s="53"/>
      <c r="I452" s="63">
        <f>IF(J452&lt;&gt;"","S"&amp;TEXT(WEEKNUM(J452),"00"),"")</f>
      </c>
      <c r="J452" s="42">
        <f>IF(AND(E452=Data!R282,Data!AA282&lt;&gt;""),Data!AA282,"")</f>
        <v>25569.041666666668</v>
      </c>
      <c r="K452" s="67">
        <f>IF(AND(E452=Data!R282,Data!AE282&lt;&gt;""),Data!AE282,"")</f>
        <v>25569.041666666668</v>
      </c>
      <c r="L452" s="68">
        <f>IF(E452=Data!R294,Data!AI294,"")</f>
      </c>
      <c r="M452" s="68">
        <f>IF(E452=Data!R294,Data!AJ294,"")</f>
      </c>
      <c r="N452" s="69">
        <f>IF(AND(Data!R294&lt;&gt;"",Data!L294="Accept&amp;#233;"),Data!K294,"")</f>
      </c>
    </row>
    <row x14ac:dyDescent="0.25" r="453" customHeight="1" ht="19.5" hidden="1">
      <c r="A453" s="62">
        <f>IF(AND(Data!R295&lt;&gt;"",Data!L295="Accept&amp;#233;"),Data!G295,"")</f>
      </c>
      <c r="B453" s="62">
        <f>IF(AND(Data!R295&lt;&gt;"",Data!L295="Accept&amp;#233;"),Data!L295,"")</f>
      </c>
      <c r="C453" s="63">
        <f>IF(D453&lt;&gt;"","S"&amp;TEXT(WEEKNUM(D453),"00"),"")</f>
      </c>
      <c r="D453" s="42">
        <f>IF(AND(Data!Q295&lt;&gt;"",Data!L295="Accept&amp;#233;"),Data!Q295,"")</f>
        <v>25569.041666666668</v>
      </c>
      <c r="E453" s="64">
        <f>IF(AND(Data!R295&lt;&gt;"",Data!L295="Accept&amp;#233;"),Data!R295,"")</f>
      </c>
      <c r="F453" s="65">
        <f>IF(AND(Data!R295&lt;&gt;"",Data!L295="Accept&amp;#233;"),Data!S295,"")</f>
      </c>
      <c r="G453" s="66">
        <f>IF(Data!R295='Delivery Plan'!E453,Data!U295,"")</f>
      </c>
      <c r="H453" s="53"/>
      <c r="I453" s="63">
        <f>IF(J453&lt;&gt;"","S"&amp;TEXT(WEEKNUM(J453),"00"),"")</f>
      </c>
      <c r="J453" s="42">
        <f>IF(AND(E453=Data!R283,Data!AA283&lt;&gt;""),Data!AA283,"")</f>
        <v>25569.041666666668</v>
      </c>
      <c r="K453" s="67">
        <f>IF(AND(E453=Data!R283,Data!AE283&lt;&gt;""),Data!AE283,"")</f>
        <v>25569.041666666668</v>
      </c>
      <c r="L453" s="68">
        <f>IF(E453=Data!R295,Data!AI295,"")</f>
      </c>
      <c r="M453" s="68">
        <f>IF(E453=Data!R295,Data!AJ295,"")</f>
      </c>
      <c r="N453" s="69">
        <f>IF(AND(Data!R295&lt;&gt;"",Data!L295="Accept&amp;#233;"),Data!K295,"")</f>
      </c>
    </row>
    <row x14ac:dyDescent="0.25" r="454" customHeight="1" ht="19.5" hidden="1">
      <c r="A454" s="62">
        <f>IF(AND(Data!R296&lt;&gt;"",Data!L296="Accept&amp;#233;"),Data!G296,"")</f>
      </c>
      <c r="B454" s="62">
        <f>IF(AND(Data!R296&lt;&gt;"",Data!L296="Accept&amp;#233;"),Data!L296,"")</f>
      </c>
      <c r="C454" s="63">
        <f>IF(D454&lt;&gt;"","S"&amp;TEXT(WEEKNUM(D454),"00"),"")</f>
      </c>
      <c r="D454" s="42">
        <f>IF(AND(Data!Q296&lt;&gt;"",Data!L296="Accept&amp;#233;"),Data!Q296,"")</f>
        <v>25569.041666666668</v>
      </c>
      <c r="E454" s="64">
        <f>IF(AND(Data!R296&lt;&gt;"",Data!L296="Accept&amp;#233;"),Data!R296,"")</f>
      </c>
      <c r="F454" s="65">
        <f>IF(AND(Data!R296&lt;&gt;"",Data!L296="Accept&amp;#233;"),Data!S296,"")</f>
      </c>
      <c r="G454" s="66">
        <f>IF(Data!R296='Delivery Plan'!E454,Data!U296,"")</f>
      </c>
      <c r="H454" s="53"/>
      <c r="I454" s="63">
        <f>IF(J454&lt;&gt;"","S"&amp;TEXT(WEEKNUM(J454),"00"),"")</f>
      </c>
      <c r="J454" s="42">
        <f>IF(AND(E454=Data!R284,Data!AA284&lt;&gt;""),Data!AA284,"")</f>
        <v>25569.041666666668</v>
      </c>
      <c r="K454" s="67">
        <f>IF(AND(E454=Data!R284,Data!AE284&lt;&gt;""),Data!AE284,"")</f>
        <v>25569.041666666668</v>
      </c>
      <c r="L454" s="68">
        <f>IF(E454=Data!R296,Data!AI296,"")</f>
      </c>
      <c r="M454" s="68">
        <f>IF(E454=Data!R296,Data!AJ296,"")</f>
      </c>
      <c r="N454" s="69">
        <f>IF(AND(Data!R296&lt;&gt;"",Data!L296="Accept&amp;#233;"),Data!K296,"")</f>
      </c>
    </row>
    <row x14ac:dyDescent="0.25" r="455" customHeight="1" ht="19.5" hidden="1">
      <c r="A455" s="62">
        <f>IF(AND(Data!R297&lt;&gt;"",Data!L297="Accept&amp;#233;"),Data!G297,"")</f>
      </c>
      <c r="B455" s="62">
        <f>IF(AND(Data!R297&lt;&gt;"",Data!L297="Accept&amp;#233;"),Data!L297,"")</f>
      </c>
      <c r="C455" s="63">
        <f>IF(D455&lt;&gt;"","S"&amp;TEXT(WEEKNUM(D455),"00"),"")</f>
      </c>
      <c r="D455" s="42">
        <f>IF(AND(Data!Q297&lt;&gt;"",Data!L297="Accept&amp;#233;"),Data!Q297,"")</f>
        <v>25569.041666666668</v>
      </c>
      <c r="E455" s="64">
        <f>IF(AND(Data!R297&lt;&gt;"",Data!L297="Accept&amp;#233;"),Data!R297,"")</f>
      </c>
      <c r="F455" s="65">
        <f>IF(AND(Data!R297&lt;&gt;"",Data!L297="Accept&amp;#233;"),Data!S297,"")</f>
      </c>
      <c r="G455" s="66">
        <f>IF(Data!R297='Delivery Plan'!E455,Data!U297,"")</f>
      </c>
      <c r="H455" s="53"/>
      <c r="I455" s="63">
        <f>IF(J455&lt;&gt;"","S"&amp;TEXT(WEEKNUM(J455),"00"),"")</f>
      </c>
      <c r="J455" s="42">
        <f>IF(AND(E455=Data!R285,Data!AA285&lt;&gt;""),Data!AA285,"")</f>
        <v>25569.041666666668</v>
      </c>
      <c r="K455" s="67">
        <f>IF(AND(E455=Data!R285,Data!AE285&lt;&gt;""),Data!AE285,"")</f>
        <v>25569.041666666668</v>
      </c>
      <c r="L455" s="68">
        <f>IF(E455=Data!R297,Data!AI297,"")</f>
      </c>
      <c r="M455" s="68">
        <f>IF(E455=Data!R297,Data!AJ297,"")</f>
      </c>
      <c r="N455" s="69">
        <f>IF(AND(Data!R297&lt;&gt;"",Data!L297="Accept&amp;#233;"),Data!K297,"")</f>
      </c>
    </row>
    <row x14ac:dyDescent="0.25" r="456" customHeight="1" ht="19.5" hidden="1">
      <c r="A456" s="62">
        <f>IF(AND(Data!R298&lt;&gt;"",Data!L298="Accept&amp;#233;"),Data!G298,"")</f>
      </c>
      <c r="B456" s="62">
        <f>IF(AND(Data!R298&lt;&gt;"",Data!L298="Accept&amp;#233;"),Data!L298,"")</f>
      </c>
      <c r="C456" s="63">
        <f>IF(D456&lt;&gt;"","S"&amp;TEXT(WEEKNUM(D456),"00"),"")</f>
      </c>
      <c r="D456" s="42">
        <f>IF(AND(Data!Q298&lt;&gt;"",Data!L298="Accept&amp;#233;"),Data!Q298,"")</f>
        <v>25569.041666666668</v>
      </c>
      <c r="E456" s="64">
        <f>IF(AND(Data!R298&lt;&gt;"",Data!L298="Accept&amp;#233;"),Data!R298,"")</f>
      </c>
      <c r="F456" s="65">
        <f>IF(AND(Data!R298&lt;&gt;"",Data!L298="Accept&amp;#233;"),Data!S298,"")</f>
      </c>
      <c r="G456" s="66">
        <f>IF(Data!R298='Delivery Plan'!E456,Data!U298,"")</f>
      </c>
      <c r="H456" s="53"/>
      <c r="I456" s="63">
        <f>IF(J456&lt;&gt;"","S"&amp;TEXT(WEEKNUM(J456),"00"),"")</f>
      </c>
      <c r="J456" s="42">
        <f>IF(AND(E456=Data!R286,Data!AA286&lt;&gt;""),Data!AA286,"")</f>
        <v>25569.041666666668</v>
      </c>
      <c r="K456" s="67">
        <f>IF(AND(E456=Data!R286,Data!AE286&lt;&gt;""),Data!AE286,"")</f>
        <v>25569.041666666668</v>
      </c>
      <c r="L456" s="68">
        <f>IF(E456=Data!R298,Data!AI298,"")</f>
      </c>
      <c r="M456" s="68">
        <f>IF(E456=Data!R298,Data!AJ298,"")</f>
      </c>
      <c r="N456" s="69">
        <f>IF(AND(Data!R298&lt;&gt;"",Data!L298="Accept&amp;#233;"),Data!K298,"")</f>
      </c>
    </row>
    <row x14ac:dyDescent="0.25" r="457" customHeight="1" ht="19.5" hidden="1">
      <c r="A457" s="62">
        <f>IF(AND(Data!R299&lt;&gt;"",Data!L299="Accept&amp;#233;"),Data!G299,"")</f>
      </c>
      <c r="B457" s="62">
        <f>IF(AND(Data!R299&lt;&gt;"",Data!L299="Accept&amp;#233;"),Data!L299,"")</f>
      </c>
      <c r="C457" s="63">
        <f>IF(D457&lt;&gt;"","S"&amp;TEXT(WEEKNUM(D457),"00"),"")</f>
      </c>
      <c r="D457" s="42">
        <f>IF(AND(Data!Q299&lt;&gt;"",Data!L299="Accept&amp;#233;"),Data!Q299,"")</f>
        <v>25569.041666666668</v>
      </c>
      <c r="E457" s="64">
        <f>IF(AND(Data!R299&lt;&gt;"",Data!L299="Accept&amp;#233;"),Data!R299,"")</f>
      </c>
      <c r="F457" s="65">
        <f>IF(AND(Data!R299&lt;&gt;"",Data!L299="Accept&amp;#233;"),Data!S299,"")</f>
      </c>
      <c r="G457" s="66">
        <f>IF(Data!R299='Delivery Plan'!E457,Data!U299,"")</f>
      </c>
      <c r="H457" s="53"/>
      <c r="I457" s="63">
        <f>IF(J457&lt;&gt;"","S"&amp;TEXT(WEEKNUM(J457),"00"),"")</f>
      </c>
      <c r="J457" s="42">
        <f>IF(AND(E457=Data!R287,Data!AA287&lt;&gt;""),Data!AA287,"")</f>
        <v>25569.041666666668</v>
      </c>
      <c r="K457" s="67">
        <f>IF(AND(E457=Data!R287,Data!AE287&lt;&gt;""),Data!AE287,"")</f>
        <v>25569.041666666668</v>
      </c>
      <c r="L457" s="68">
        <f>IF(E457=Data!R299,Data!AI299,"")</f>
      </c>
      <c r="M457" s="68">
        <f>IF(E457=Data!R299,Data!AJ299,"")</f>
      </c>
      <c r="N457" s="69">
        <f>IF(AND(Data!R299&lt;&gt;"",Data!L299="Accept&amp;#233;"),Data!K299,"")</f>
      </c>
    </row>
    <row x14ac:dyDescent="0.25" r="458" customHeight="1" ht="19.5" hidden="1">
      <c r="A458" s="62">
        <f>IF(AND(Data!R300&lt;&gt;"",Data!L300="Accept&amp;#233;"),Data!G300,"")</f>
      </c>
      <c r="B458" s="62">
        <f>IF(AND(Data!R300&lt;&gt;"",Data!L300="Accept&amp;#233;"),Data!L300,"")</f>
      </c>
      <c r="C458" s="63">
        <f>IF(D458&lt;&gt;"","S"&amp;TEXT(WEEKNUM(D458),"00"),"")</f>
      </c>
      <c r="D458" s="42">
        <f>IF(AND(Data!Q300&lt;&gt;"",Data!L300="Accept&amp;#233;"),Data!Q300,"")</f>
        <v>25569.041666666668</v>
      </c>
      <c r="E458" s="64">
        <f>IF(AND(Data!R300&lt;&gt;"",Data!L300="Accept&amp;#233;"),Data!R300,"")</f>
      </c>
      <c r="F458" s="65">
        <f>IF(AND(Data!R300&lt;&gt;"",Data!L300="Accept&amp;#233;"),Data!S300,"")</f>
      </c>
      <c r="G458" s="66">
        <f>IF(Data!R300='Delivery Plan'!E458,Data!U300,"")</f>
      </c>
      <c r="H458" s="53"/>
      <c r="I458" s="63">
        <f>IF(J458&lt;&gt;"","S"&amp;TEXT(WEEKNUM(J458),"00"),"")</f>
      </c>
      <c r="J458" s="42">
        <f>IF(AND(E458=Data!R288,Data!AA288&lt;&gt;""),Data!AA288,"")</f>
        <v>25569.041666666668</v>
      </c>
      <c r="K458" s="67">
        <f>IF(AND(E458=Data!R288,Data!AE288&lt;&gt;""),Data!AE288,"")</f>
        <v>25569.041666666668</v>
      </c>
      <c r="L458" s="68">
        <f>IF(E458=Data!R300,Data!AI300,"")</f>
      </c>
      <c r="M458" s="68">
        <f>IF(E458=Data!R300,Data!AJ300,"")</f>
      </c>
      <c r="N458" s="69">
        <f>IF(AND(Data!R300&lt;&gt;"",Data!L300="Accept&amp;#233;"),Data!K300,"")</f>
      </c>
    </row>
    <row x14ac:dyDescent="0.25" r="459" customHeight="1" ht="19.5" hidden="1">
      <c r="A459" s="62">
        <f>IF(AND(Data!R301&lt;&gt;"",Data!L301="Accept&amp;#233;"),Data!G301,"")</f>
      </c>
      <c r="B459" s="62">
        <f>IF(AND(Data!R301&lt;&gt;"",Data!L301="Accept&amp;#233;"),Data!L301,"")</f>
      </c>
      <c r="C459" s="63">
        <f>IF(D459&lt;&gt;"","S"&amp;TEXT(WEEKNUM(D459),"00"),"")</f>
      </c>
      <c r="D459" s="42">
        <f>IF(AND(Data!Q301&lt;&gt;"",Data!L301="Accept&amp;#233;"),Data!Q301,"")</f>
        <v>25569.041666666668</v>
      </c>
      <c r="E459" s="64">
        <f>IF(AND(Data!R301&lt;&gt;"",Data!L301="Accept&amp;#233;"),Data!R301,"")</f>
      </c>
      <c r="F459" s="65">
        <f>IF(AND(Data!R301&lt;&gt;"",Data!L301="Accept&amp;#233;"),Data!S301,"")</f>
      </c>
      <c r="G459" s="66">
        <f>IF(Data!R301='Delivery Plan'!E459,Data!U301,"")</f>
      </c>
      <c r="H459" s="53"/>
      <c r="I459" s="63">
        <f>IF(J459&lt;&gt;"","S"&amp;TEXT(WEEKNUM(J459),"00"),"")</f>
      </c>
      <c r="J459" s="42">
        <f>IF(AND(E459=Data!R289,Data!AA289&lt;&gt;""),Data!AA289,"")</f>
        <v>25569.041666666668</v>
      </c>
      <c r="K459" s="67">
        <f>IF(AND(E459=Data!R289,Data!AE289&lt;&gt;""),Data!AE289,"")</f>
        <v>25569.041666666668</v>
      </c>
      <c r="L459" s="68">
        <f>IF(E459=Data!R301,Data!AI301,"")</f>
      </c>
      <c r="M459" s="68">
        <f>IF(E459=Data!R301,Data!AJ301,"")</f>
      </c>
      <c r="N459" s="69">
        <f>IF(AND(Data!R301&lt;&gt;"",Data!L301="Accept&amp;#233;"),Data!K301,"")</f>
      </c>
    </row>
    <row x14ac:dyDescent="0.25" r="460" customHeight="1" ht="19.5" hidden="1">
      <c r="A460" s="62">
        <f>IF(AND(Data!R302&lt;&gt;"",Data!L302="Accept&amp;#233;"),Data!G302,"")</f>
      </c>
      <c r="B460" s="62">
        <f>IF(AND(Data!R302&lt;&gt;"",Data!L302="Accept&amp;#233;"),Data!L302,"")</f>
      </c>
      <c r="C460" s="63">
        <f>IF(D460&lt;&gt;"","S"&amp;TEXT(WEEKNUM(D460),"00"),"")</f>
      </c>
      <c r="D460" s="42">
        <f>IF(AND(Data!Q302&lt;&gt;"",Data!L302="Accept&amp;#233;"),Data!Q302,"")</f>
        <v>25569.041666666668</v>
      </c>
      <c r="E460" s="64">
        <f>IF(AND(Data!R302&lt;&gt;"",Data!L302="Accept&amp;#233;"),Data!R302,"")</f>
      </c>
      <c r="F460" s="65">
        <f>IF(AND(Data!R302&lt;&gt;"",Data!L302="Accept&amp;#233;"),Data!S302,"")</f>
      </c>
      <c r="G460" s="66">
        <f>IF(Data!R302='Delivery Plan'!E460,Data!U302,"")</f>
      </c>
      <c r="H460" s="53"/>
      <c r="I460" s="63">
        <f>IF(J460&lt;&gt;"","S"&amp;TEXT(WEEKNUM(J460),"00"),"")</f>
      </c>
      <c r="J460" s="42">
        <f>IF(AND(E460=Data!R290,Data!AA290&lt;&gt;""),Data!AA290,"")</f>
        <v>25569.041666666668</v>
      </c>
      <c r="K460" s="67">
        <f>IF(AND(E460=Data!R290,Data!AE290&lt;&gt;""),Data!AE290,"")</f>
        <v>25569.041666666668</v>
      </c>
      <c r="L460" s="68">
        <f>IF(E460=Data!R302,Data!AI302,"")</f>
      </c>
      <c r="M460" s="68">
        <f>IF(E460=Data!R302,Data!AJ302,"")</f>
      </c>
      <c r="N460" s="69">
        <f>IF(AND(Data!R302&lt;&gt;"",Data!L302="Accept&amp;#233;"),Data!K302,"")</f>
      </c>
    </row>
    <row x14ac:dyDescent="0.25" r="461" customHeight="1" ht="19.5" hidden="1">
      <c r="A461" s="62">
        <f>IF(AND(Data!R303&lt;&gt;"",Data!L303="Accept&amp;#233;"),Data!G303,"")</f>
      </c>
      <c r="B461" s="62">
        <f>IF(AND(Data!R303&lt;&gt;"",Data!L303="Accept&amp;#233;"),Data!L303,"")</f>
      </c>
      <c r="C461" s="63">
        <f>IF(D461&lt;&gt;"","S"&amp;TEXT(WEEKNUM(D461),"00"),"")</f>
      </c>
      <c r="D461" s="42">
        <f>IF(AND(Data!Q303&lt;&gt;"",Data!L303="Accept&amp;#233;"),Data!Q303,"")</f>
        <v>25569.041666666668</v>
      </c>
      <c r="E461" s="64">
        <f>IF(AND(Data!R303&lt;&gt;"",Data!L303="Accept&amp;#233;"),Data!R303,"")</f>
      </c>
      <c r="F461" s="65">
        <f>IF(AND(Data!R303&lt;&gt;"",Data!L303="Accept&amp;#233;"),Data!S303,"")</f>
      </c>
      <c r="G461" s="66">
        <f>IF(Data!R303='Delivery Plan'!E461,Data!U303,"")</f>
      </c>
      <c r="H461" s="53"/>
      <c r="I461" s="63">
        <f>IF(J461&lt;&gt;"","S"&amp;TEXT(WEEKNUM(J461),"00"),"")</f>
      </c>
      <c r="J461" s="42">
        <f>IF(AND(E461=Data!R291,Data!AA291&lt;&gt;""),Data!AA291,"")</f>
        <v>25569.041666666668</v>
      </c>
      <c r="K461" s="67">
        <f>IF(AND(E461=Data!R291,Data!AE291&lt;&gt;""),Data!AE291,"")</f>
        <v>25569.041666666668</v>
      </c>
      <c r="L461" s="68">
        <f>IF(E461=Data!R303,Data!AI303,"")</f>
      </c>
      <c r="M461" s="68">
        <f>IF(E461=Data!R303,Data!AJ303,"")</f>
      </c>
      <c r="N461" s="69">
        <f>IF(AND(Data!R303&lt;&gt;"",Data!L303="Accept&amp;#233;"),Data!K303,"")</f>
      </c>
    </row>
    <row x14ac:dyDescent="0.25" r="462" customHeight="1" ht="19.5" hidden="1">
      <c r="A462" s="62">
        <f>IF(AND(Data!R304&lt;&gt;"",Data!L304="Accept&amp;#233;"),Data!G304,"")</f>
      </c>
      <c r="B462" s="62">
        <f>IF(AND(Data!R304&lt;&gt;"",Data!L304="Accept&amp;#233;"),Data!L304,"")</f>
      </c>
      <c r="C462" s="63">
        <f>IF(D462&lt;&gt;"","S"&amp;TEXT(WEEKNUM(D462),"00"),"")</f>
      </c>
      <c r="D462" s="42">
        <f>IF(AND(Data!Q304&lt;&gt;"",Data!L304="Accept&amp;#233;"),Data!Q304,"")</f>
        <v>25569.041666666668</v>
      </c>
      <c r="E462" s="64">
        <f>IF(AND(Data!R304&lt;&gt;"",Data!L304="Accept&amp;#233;"),Data!R304,"")</f>
      </c>
      <c r="F462" s="65">
        <f>IF(AND(Data!R304&lt;&gt;"",Data!L304="Accept&amp;#233;"),Data!S304,"")</f>
      </c>
      <c r="G462" s="66">
        <f>IF(Data!R304='Delivery Plan'!E462,Data!U304,"")</f>
      </c>
      <c r="H462" s="53"/>
      <c r="I462" s="63">
        <f>IF(J462&lt;&gt;"","S"&amp;TEXT(WEEKNUM(J462),"00"),"")</f>
      </c>
      <c r="J462" s="42">
        <f>IF(AND(E462=Data!R292,Data!AA292&lt;&gt;""),Data!AA292,"")</f>
        <v>25569.041666666668</v>
      </c>
      <c r="K462" s="67">
        <f>IF(AND(E462=Data!R292,Data!AE292&lt;&gt;""),Data!AE292,"")</f>
        <v>25569.041666666668</v>
      </c>
      <c r="L462" s="68">
        <f>IF(E462=Data!R304,Data!AI304,"")</f>
      </c>
      <c r="M462" s="68">
        <f>IF(E462=Data!R304,Data!AJ304,"")</f>
      </c>
      <c r="N462" s="69">
        <f>IF(AND(Data!R304&lt;&gt;"",Data!L304="Accept&amp;#233;"),Data!K304,"")</f>
      </c>
    </row>
    <row x14ac:dyDescent="0.25" r="463" customHeight="1" ht="19.5" hidden="1">
      <c r="A463" s="62">
        <f>IF(AND(Data!R305&lt;&gt;"",Data!L305="Accept&amp;#233;"),Data!G305,"")</f>
      </c>
      <c r="B463" s="62">
        <f>IF(AND(Data!R305&lt;&gt;"",Data!L305="Accept&amp;#233;"),Data!L305,"")</f>
      </c>
      <c r="C463" s="63">
        <f>IF(D463&lt;&gt;"","S"&amp;TEXT(WEEKNUM(D463),"00"),"")</f>
      </c>
      <c r="D463" s="42">
        <f>IF(AND(Data!Q305&lt;&gt;"",Data!L305="Accept&amp;#233;"),Data!Q305,"")</f>
        <v>25569.041666666668</v>
      </c>
      <c r="E463" s="64">
        <f>IF(AND(Data!R305&lt;&gt;"",Data!L305="Accept&amp;#233;"),Data!R305,"")</f>
      </c>
      <c r="F463" s="65">
        <f>IF(AND(Data!R305&lt;&gt;"",Data!L305="Accept&amp;#233;"),Data!S305,"")</f>
      </c>
      <c r="G463" s="66">
        <f>IF(Data!R305='Delivery Plan'!E463,Data!U305,"")</f>
      </c>
      <c r="H463" s="53"/>
      <c r="I463" s="63">
        <f>IF(J463&lt;&gt;"","S"&amp;TEXT(WEEKNUM(J463),"00"),"")</f>
      </c>
      <c r="J463" s="42">
        <f>IF(AND(E463=Data!R293,Data!AA293&lt;&gt;""),Data!AA293,"")</f>
        <v>25569.041666666668</v>
      </c>
      <c r="K463" s="67">
        <f>IF(AND(E463=Data!R293,Data!AE293&lt;&gt;""),Data!AE293,"")</f>
        <v>25569.041666666668</v>
      </c>
      <c r="L463" s="68">
        <f>IF(E463=Data!R305,Data!AI305,"")</f>
      </c>
      <c r="M463" s="68">
        <f>IF(E463=Data!R305,Data!AJ305,"")</f>
      </c>
      <c r="N463" s="69">
        <f>IF(AND(Data!R305&lt;&gt;"",Data!L305="Accept&amp;#233;"),Data!K305,"")</f>
      </c>
    </row>
    <row x14ac:dyDescent="0.25" r="464" customHeight="1" ht="19.5" hidden="1">
      <c r="A464" s="62">
        <f>IF(AND(Data!R306&lt;&gt;"",Data!L306="Accept&amp;#233;"),Data!G306,"")</f>
      </c>
      <c r="B464" s="62">
        <f>IF(AND(Data!R306&lt;&gt;"",Data!L306="Accept&amp;#233;"),Data!L306,"")</f>
      </c>
      <c r="C464" s="63">
        <f>IF(D464&lt;&gt;"","S"&amp;TEXT(WEEKNUM(D464),"00"),"")</f>
      </c>
      <c r="D464" s="42">
        <f>IF(AND(Data!Q306&lt;&gt;"",Data!L306="Accept&amp;#233;"),Data!Q306,"")</f>
        <v>25569.041666666668</v>
      </c>
      <c r="E464" s="64">
        <f>IF(AND(Data!R306&lt;&gt;"",Data!L306="Accept&amp;#233;"),Data!R306,"")</f>
      </c>
      <c r="F464" s="65">
        <f>IF(AND(Data!R306&lt;&gt;"",Data!L306="Accept&amp;#233;"),Data!S306,"")</f>
      </c>
      <c r="G464" s="66">
        <f>IF(Data!R306='Delivery Plan'!E464,Data!U306,"")</f>
      </c>
      <c r="H464" s="53"/>
      <c r="I464" s="63">
        <f>IF(J464&lt;&gt;"","S"&amp;TEXT(WEEKNUM(J464),"00"),"")</f>
      </c>
      <c r="J464" s="42">
        <f>IF(AND(E464=Data!R294,Data!AA294&lt;&gt;""),Data!AA294,"")</f>
        <v>25569.041666666668</v>
      </c>
      <c r="K464" s="67">
        <f>IF(AND(E464=Data!R294,Data!AE294&lt;&gt;""),Data!AE294,"")</f>
        <v>25569.041666666668</v>
      </c>
      <c r="L464" s="68">
        <f>IF(E464=Data!R306,Data!AI306,"")</f>
      </c>
      <c r="M464" s="68">
        <f>IF(E464=Data!R306,Data!AJ306,"")</f>
      </c>
      <c r="N464" s="69">
        <f>IF(AND(Data!R306&lt;&gt;"",Data!L306="Accept&amp;#233;"),Data!K306,"")</f>
      </c>
    </row>
    <row x14ac:dyDescent="0.25" r="465" customHeight="1" ht="19.5" hidden="1">
      <c r="A465" s="62">
        <f>IF(AND(Data!R307&lt;&gt;"",Data!L307="Accept&amp;#233;"),Data!G307,"")</f>
      </c>
      <c r="B465" s="62">
        <f>IF(AND(Data!R307&lt;&gt;"",Data!L307="Accept&amp;#233;"),Data!L307,"")</f>
      </c>
      <c r="C465" s="63">
        <f>IF(D465&lt;&gt;"","S"&amp;TEXT(WEEKNUM(D465),"00"),"")</f>
      </c>
      <c r="D465" s="42">
        <f>IF(AND(Data!Q307&lt;&gt;"",Data!L307="Accept&amp;#233;"),Data!Q307,"")</f>
        <v>25569.041666666668</v>
      </c>
      <c r="E465" s="64">
        <f>IF(AND(Data!R307&lt;&gt;"",Data!L307="Accept&amp;#233;"),Data!R307,"")</f>
      </c>
      <c r="F465" s="65">
        <f>IF(AND(Data!R307&lt;&gt;"",Data!L307="Accept&amp;#233;"),Data!S307,"")</f>
      </c>
      <c r="G465" s="66">
        <f>IF(Data!R307='Delivery Plan'!E465,Data!U307,"")</f>
      </c>
      <c r="H465" s="53"/>
      <c r="I465" s="63">
        <f>IF(J465&lt;&gt;"","S"&amp;TEXT(WEEKNUM(J465),"00"),"")</f>
      </c>
      <c r="J465" s="42">
        <f>IF(AND(E465=Data!R295,Data!AA295&lt;&gt;""),Data!AA295,"")</f>
        <v>25569.041666666668</v>
      </c>
      <c r="K465" s="67">
        <f>IF(AND(E465=Data!R295,Data!AE295&lt;&gt;""),Data!AE295,"")</f>
        <v>25569.041666666668</v>
      </c>
      <c r="L465" s="68">
        <f>IF(E465=Data!R307,Data!AI307,"")</f>
      </c>
      <c r="M465" s="68">
        <f>IF(E465=Data!R307,Data!AJ307,"")</f>
      </c>
      <c r="N465" s="69">
        <f>IF(AND(Data!R307&lt;&gt;"",Data!L307="Accept&amp;#233;"),Data!K307,"")</f>
      </c>
    </row>
    <row x14ac:dyDescent="0.25" r="466" customHeight="1" ht="19.5" hidden="1">
      <c r="A466" s="62">
        <f>IF(AND(Data!R308&lt;&gt;"",Data!L308="Accept&amp;#233;"),Data!G308,"")</f>
      </c>
      <c r="B466" s="62">
        <f>IF(AND(Data!R308&lt;&gt;"",Data!L308="Accept&amp;#233;"),Data!L308,"")</f>
      </c>
      <c r="C466" s="63">
        <f>IF(D466&lt;&gt;"","S"&amp;TEXT(WEEKNUM(D466),"00"),"")</f>
      </c>
      <c r="D466" s="42">
        <f>IF(AND(Data!Q308&lt;&gt;"",Data!L308="Accept&amp;#233;"),Data!Q308,"")</f>
        <v>25569.041666666668</v>
      </c>
      <c r="E466" s="64">
        <f>IF(AND(Data!R308&lt;&gt;"",Data!L308="Accept&amp;#233;"),Data!R308,"")</f>
      </c>
      <c r="F466" s="65">
        <f>IF(AND(Data!R308&lt;&gt;"",Data!L308="Accept&amp;#233;"),Data!S308,"")</f>
      </c>
      <c r="G466" s="66">
        <f>IF(Data!R308='Delivery Plan'!E466,Data!U308,"")</f>
      </c>
      <c r="H466" s="53"/>
      <c r="I466" s="63">
        <f>IF(J466&lt;&gt;"","S"&amp;TEXT(WEEKNUM(J466),"00"),"")</f>
      </c>
      <c r="J466" s="42">
        <f>IF(AND(E466=Data!R296,Data!AA296&lt;&gt;""),Data!AA296,"")</f>
        <v>25569.041666666668</v>
      </c>
      <c r="K466" s="67">
        <f>IF(AND(E466=Data!R296,Data!AE296&lt;&gt;""),Data!AE296,"")</f>
        <v>25569.041666666668</v>
      </c>
      <c r="L466" s="68">
        <f>IF(E466=Data!R308,Data!AI308,"")</f>
      </c>
      <c r="M466" s="68">
        <f>IF(E466=Data!R308,Data!AJ308,"")</f>
      </c>
      <c r="N466" s="69">
        <f>IF(AND(Data!R308&lt;&gt;"",Data!L308="Accept&amp;#233;"),Data!K308,"")</f>
      </c>
    </row>
    <row x14ac:dyDescent="0.25" r="467" customHeight="1" ht="19.5" hidden="1">
      <c r="A467" s="62">
        <f>IF(AND(Data!R309&lt;&gt;"",Data!L309="Accept&amp;#233;"),Data!G309,"")</f>
      </c>
      <c r="B467" s="62">
        <f>IF(AND(Data!R309&lt;&gt;"",Data!L309="Accept&amp;#233;"),Data!L309,"")</f>
      </c>
      <c r="C467" s="63">
        <f>IF(D467&lt;&gt;"","S"&amp;TEXT(WEEKNUM(D467),"00"),"")</f>
      </c>
      <c r="D467" s="42">
        <f>IF(AND(Data!Q309&lt;&gt;"",Data!L309="Accept&amp;#233;"),Data!Q309,"")</f>
        <v>25569.041666666668</v>
      </c>
      <c r="E467" s="64">
        <f>IF(AND(Data!R309&lt;&gt;"",Data!L309="Accept&amp;#233;"),Data!R309,"")</f>
      </c>
      <c r="F467" s="65">
        <f>IF(AND(Data!R309&lt;&gt;"",Data!L309="Accept&amp;#233;"),Data!S309,"")</f>
      </c>
      <c r="G467" s="66">
        <f>IF(Data!R309='Delivery Plan'!E467,Data!U309,"")</f>
      </c>
      <c r="H467" s="53"/>
      <c r="I467" s="63">
        <f>IF(J467&lt;&gt;"","S"&amp;TEXT(WEEKNUM(J467),"00"),"")</f>
      </c>
      <c r="J467" s="42">
        <f>IF(AND(E467=Data!R297,Data!AA297&lt;&gt;""),Data!AA297,"")</f>
        <v>25569.041666666668</v>
      </c>
      <c r="K467" s="67">
        <f>IF(AND(E467=Data!R297,Data!AE297&lt;&gt;""),Data!AE297,"")</f>
        <v>25569.041666666668</v>
      </c>
      <c r="L467" s="68">
        <f>IF(E467=Data!R309,Data!AI309,"")</f>
      </c>
      <c r="M467" s="68">
        <f>IF(E467=Data!R309,Data!AJ309,"")</f>
      </c>
      <c r="N467" s="69">
        <f>IF(AND(Data!R309&lt;&gt;"",Data!L309="Accept&amp;#233;"),Data!K309,"")</f>
      </c>
    </row>
    <row x14ac:dyDescent="0.25" r="468" customHeight="1" ht="19.5" hidden="1">
      <c r="A468" s="62">
        <f>IF(AND(Data!R310&lt;&gt;"",Data!L310="Accept&amp;#233;"),Data!G310,"")</f>
      </c>
      <c r="B468" s="62">
        <f>IF(AND(Data!R310&lt;&gt;"",Data!L310="Accept&amp;#233;"),Data!L310,"")</f>
      </c>
      <c r="C468" s="63">
        <f>IF(D468&lt;&gt;"","S"&amp;TEXT(WEEKNUM(D468),"00"),"")</f>
      </c>
      <c r="D468" s="42">
        <f>IF(AND(Data!Q310&lt;&gt;"",Data!L310="Accept&amp;#233;"),Data!Q310,"")</f>
        <v>25569.041666666668</v>
      </c>
      <c r="E468" s="64">
        <f>IF(AND(Data!R310&lt;&gt;"",Data!L310="Accept&amp;#233;"),Data!R310,"")</f>
      </c>
      <c r="F468" s="65">
        <f>IF(AND(Data!R310&lt;&gt;"",Data!L310="Accept&amp;#233;"),Data!S310,"")</f>
      </c>
      <c r="G468" s="66">
        <f>IF(Data!R310='Delivery Plan'!E468,Data!U310,"")</f>
      </c>
      <c r="H468" s="53"/>
      <c r="I468" s="63">
        <f>IF(J468&lt;&gt;"","S"&amp;TEXT(WEEKNUM(J468),"00"),"")</f>
      </c>
      <c r="J468" s="42">
        <f>IF(AND(E468=Data!R298,Data!AA298&lt;&gt;""),Data!AA298,"")</f>
        <v>25569.041666666668</v>
      </c>
      <c r="K468" s="67">
        <f>IF(AND(E468=Data!R298,Data!AE298&lt;&gt;""),Data!AE298,"")</f>
        <v>25569.041666666668</v>
      </c>
      <c r="L468" s="68">
        <f>IF(E468=Data!R310,Data!AI310,"")</f>
      </c>
      <c r="M468" s="68">
        <f>IF(E468=Data!R310,Data!AJ310,"")</f>
      </c>
      <c r="N468" s="69">
        <f>IF(AND(Data!R310&lt;&gt;"",Data!L310="Accept&amp;#233;"),Data!K310,"")</f>
      </c>
    </row>
    <row x14ac:dyDescent="0.25" r="469" customHeight="1" ht="19.5" hidden="1">
      <c r="A469" s="62">
        <f>IF(AND(Data!R311&lt;&gt;"",Data!L311="Accept&amp;#233;"),Data!G311,"")</f>
      </c>
      <c r="B469" s="62">
        <f>IF(AND(Data!R311&lt;&gt;"",Data!L311="Accept&amp;#233;"),Data!L311,"")</f>
      </c>
      <c r="C469" s="63">
        <f>IF(D469&lt;&gt;"","S"&amp;TEXT(WEEKNUM(D469),"00"),"")</f>
      </c>
      <c r="D469" s="42">
        <f>IF(AND(Data!Q311&lt;&gt;"",Data!L311="Accept&amp;#233;"),Data!Q311,"")</f>
        <v>25569.041666666668</v>
      </c>
      <c r="E469" s="64">
        <f>IF(AND(Data!R311&lt;&gt;"",Data!L311="Accept&amp;#233;"),Data!R311,"")</f>
      </c>
      <c r="F469" s="65">
        <f>IF(AND(Data!R311&lt;&gt;"",Data!L311="Accept&amp;#233;"),Data!S311,"")</f>
      </c>
      <c r="G469" s="66">
        <f>IF(Data!R311='Delivery Plan'!E469,Data!U311,"")</f>
      </c>
      <c r="H469" s="53"/>
      <c r="I469" s="63">
        <f>IF(J469&lt;&gt;"","S"&amp;TEXT(WEEKNUM(J469),"00"),"")</f>
      </c>
      <c r="J469" s="42">
        <f>IF(AND(E469=Data!R299,Data!AA299&lt;&gt;""),Data!AA299,"")</f>
        <v>25569.041666666668</v>
      </c>
      <c r="K469" s="67">
        <f>IF(AND(E469=Data!R299,Data!AE299&lt;&gt;""),Data!AE299,"")</f>
        <v>25569.041666666668</v>
      </c>
      <c r="L469" s="68">
        <f>IF(E469=Data!R311,Data!AI311,"")</f>
      </c>
      <c r="M469" s="68">
        <f>IF(E469=Data!R311,Data!AJ311,"")</f>
      </c>
      <c r="N469" s="69">
        <f>IF(AND(Data!R311&lt;&gt;"",Data!L311="Accept&amp;#233;"),Data!K311,"")</f>
      </c>
    </row>
    <row x14ac:dyDescent="0.25" r="470" customHeight="1" ht="19.5" hidden="1">
      <c r="A470" s="62">
        <f>IF(AND(Data!R312&lt;&gt;"",Data!L312="Accept&amp;#233;"),Data!G312,"")</f>
      </c>
      <c r="B470" s="62">
        <f>IF(AND(Data!R312&lt;&gt;"",Data!L312="Accept&amp;#233;"),Data!L312,"")</f>
      </c>
      <c r="C470" s="63">
        <f>IF(D470&lt;&gt;"","S"&amp;TEXT(WEEKNUM(D470),"00"),"")</f>
      </c>
      <c r="D470" s="42">
        <f>IF(AND(Data!Q312&lt;&gt;"",Data!L312="Accept&amp;#233;"),Data!Q312,"")</f>
        <v>25569.041666666668</v>
      </c>
      <c r="E470" s="64">
        <f>IF(AND(Data!R312&lt;&gt;"",Data!L312="Accept&amp;#233;"),Data!R312,"")</f>
      </c>
      <c r="F470" s="65">
        <f>IF(AND(Data!R312&lt;&gt;"",Data!L312="Accept&amp;#233;"),Data!S312,"")</f>
      </c>
      <c r="G470" s="66">
        <f>IF(Data!R312='Delivery Plan'!E470,Data!U312,"")</f>
      </c>
      <c r="H470" s="53"/>
      <c r="I470" s="63">
        <f>IF(J470&lt;&gt;"","S"&amp;TEXT(WEEKNUM(J470),"00"),"")</f>
      </c>
      <c r="J470" s="42">
        <f>IF(AND(E470=Data!R300,Data!AA300&lt;&gt;""),Data!AA300,"")</f>
        <v>25569.041666666668</v>
      </c>
      <c r="K470" s="67">
        <f>IF(AND(E470=Data!R300,Data!AE300&lt;&gt;""),Data!AE300,"")</f>
        <v>25569.041666666668</v>
      </c>
      <c r="L470" s="68">
        <f>IF(E470=Data!R312,Data!AI312,"")</f>
      </c>
      <c r="M470" s="68">
        <f>IF(E470=Data!R312,Data!AJ312,"")</f>
      </c>
      <c r="N470" s="69">
        <f>IF(AND(Data!R312&lt;&gt;"",Data!L312="Accept&amp;#233;"),Data!K312,"")</f>
      </c>
    </row>
    <row x14ac:dyDescent="0.25" r="471" customHeight="1" ht="19.5" hidden="1">
      <c r="A471" s="62">
        <f>IF(AND(Data!R313&lt;&gt;"",Data!L313="Accept&amp;#233;"),Data!G313,"")</f>
      </c>
      <c r="B471" s="62">
        <f>IF(AND(Data!R313&lt;&gt;"",Data!L313="Accept&amp;#233;"),Data!L313,"")</f>
      </c>
      <c r="C471" s="63">
        <f>IF(D471&lt;&gt;"","S"&amp;TEXT(WEEKNUM(D471),"00"),"")</f>
      </c>
      <c r="D471" s="42">
        <f>IF(AND(Data!Q313&lt;&gt;"",Data!L313="Accept&amp;#233;"),Data!Q313,"")</f>
        <v>25569.041666666668</v>
      </c>
      <c r="E471" s="64">
        <f>IF(AND(Data!R313&lt;&gt;"",Data!L313="Accept&amp;#233;"),Data!R313,"")</f>
      </c>
      <c r="F471" s="65">
        <f>IF(AND(Data!R313&lt;&gt;"",Data!L313="Accept&amp;#233;"),Data!S313,"")</f>
      </c>
      <c r="G471" s="66">
        <f>IF(Data!R313='Delivery Plan'!E471,Data!U313,"")</f>
      </c>
      <c r="H471" s="53"/>
      <c r="I471" s="63">
        <f>IF(J471&lt;&gt;"","S"&amp;TEXT(WEEKNUM(J471),"00"),"")</f>
      </c>
      <c r="J471" s="42">
        <f>IF(AND(E471=Data!R301,Data!AA301&lt;&gt;""),Data!AA301,"")</f>
        <v>25569.041666666668</v>
      </c>
      <c r="K471" s="67">
        <f>IF(AND(E471=Data!R301,Data!AE301&lt;&gt;""),Data!AE301,"")</f>
        <v>25569.041666666668</v>
      </c>
      <c r="L471" s="68">
        <f>IF(E471=Data!R313,Data!AI313,"")</f>
      </c>
      <c r="M471" s="68">
        <f>IF(E471=Data!R313,Data!AJ313,"")</f>
      </c>
      <c r="N471" s="69">
        <f>IF(AND(Data!R313&lt;&gt;"",Data!L313="Accept&amp;#233;"),Data!K313,"")</f>
      </c>
    </row>
    <row x14ac:dyDescent="0.25" r="472" customHeight="1" ht="19.5" hidden="1">
      <c r="A472" s="62">
        <f>IF(AND(Data!R314&lt;&gt;"",Data!L314="Accept&amp;#233;"),Data!G314,"")</f>
      </c>
      <c r="B472" s="62">
        <f>IF(AND(Data!R314&lt;&gt;"",Data!L314="Accept&amp;#233;"),Data!L314,"")</f>
      </c>
      <c r="C472" s="63">
        <f>IF(D472&lt;&gt;"","S"&amp;TEXT(WEEKNUM(D472),"00"),"")</f>
      </c>
      <c r="D472" s="42">
        <f>IF(AND(Data!Q314&lt;&gt;"",Data!L314="Accept&amp;#233;"),Data!Q314,"")</f>
        <v>25569.041666666668</v>
      </c>
      <c r="E472" s="64">
        <f>IF(AND(Data!R314&lt;&gt;"",Data!L314="Accept&amp;#233;"),Data!R314,"")</f>
      </c>
      <c r="F472" s="65">
        <f>IF(AND(Data!R314&lt;&gt;"",Data!L314="Accept&amp;#233;"),Data!S314,"")</f>
      </c>
      <c r="G472" s="66">
        <f>IF(Data!R314='Delivery Plan'!E472,Data!U314,"")</f>
      </c>
      <c r="H472" s="53"/>
      <c r="I472" s="63">
        <f>IF(J472&lt;&gt;"","S"&amp;TEXT(WEEKNUM(J472),"00"),"")</f>
      </c>
      <c r="J472" s="42">
        <f>IF(AND(E472=Data!R302,Data!AA302&lt;&gt;""),Data!AA302,"")</f>
        <v>25569.041666666668</v>
      </c>
      <c r="K472" s="67">
        <f>IF(AND(E472=Data!R302,Data!AE302&lt;&gt;""),Data!AE302,"")</f>
        <v>25569.041666666668</v>
      </c>
      <c r="L472" s="68">
        <f>IF(E472=Data!R314,Data!AI314,"")</f>
      </c>
      <c r="M472" s="68">
        <f>IF(E472=Data!R314,Data!AJ314,"")</f>
      </c>
      <c r="N472" s="69">
        <f>IF(AND(Data!R314&lt;&gt;"",Data!L314="Accept&amp;#233;"),Data!K314,"")</f>
      </c>
    </row>
    <row x14ac:dyDescent="0.25" r="473" customHeight="1" ht="19.5" hidden="1">
      <c r="A473" s="62">
        <f>IF(AND(Data!R315&lt;&gt;"",Data!L315="Accept&amp;#233;"),Data!G315,"")</f>
      </c>
      <c r="B473" s="62">
        <f>IF(AND(Data!R315&lt;&gt;"",Data!L315="Accept&amp;#233;"),Data!L315,"")</f>
      </c>
      <c r="C473" s="63">
        <f>IF(D473&lt;&gt;"","S"&amp;TEXT(WEEKNUM(D473),"00"),"")</f>
      </c>
      <c r="D473" s="42">
        <f>IF(AND(Data!Q315&lt;&gt;"",Data!L315="Accept&amp;#233;"),Data!Q315,"")</f>
        <v>25569.041666666668</v>
      </c>
      <c r="E473" s="64">
        <f>IF(AND(Data!R315&lt;&gt;"",Data!L315="Accept&amp;#233;"),Data!R315,"")</f>
      </c>
      <c r="F473" s="65">
        <f>IF(AND(Data!R315&lt;&gt;"",Data!L315="Accept&amp;#233;"),Data!S315,"")</f>
      </c>
      <c r="G473" s="66">
        <f>IF(Data!R315='Delivery Plan'!E473,Data!U315,"")</f>
      </c>
      <c r="H473" s="53"/>
      <c r="I473" s="63">
        <f>IF(J473&lt;&gt;"","S"&amp;TEXT(WEEKNUM(J473),"00"),"")</f>
      </c>
      <c r="J473" s="42">
        <f>IF(AND(E473=Data!R303,Data!AA303&lt;&gt;""),Data!AA303,"")</f>
        <v>25569.041666666668</v>
      </c>
      <c r="K473" s="67">
        <f>IF(AND(E473=Data!R303,Data!AE303&lt;&gt;""),Data!AE303,"")</f>
        <v>25569.041666666668</v>
      </c>
      <c r="L473" s="68">
        <f>IF(E473=Data!R315,Data!AI315,"")</f>
      </c>
      <c r="M473" s="68">
        <f>IF(E473=Data!R315,Data!AJ315,"")</f>
      </c>
      <c r="N473" s="69">
        <f>IF(AND(Data!R315&lt;&gt;"",Data!L315="Accept&amp;#233;"),Data!K315,"")</f>
      </c>
    </row>
    <row x14ac:dyDescent="0.25" r="474" customHeight="1" ht="19.5" hidden="1">
      <c r="A474" s="62">
        <f>IF(AND(Data!R316&lt;&gt;"",Data!L316="Accept&amp;#233;"),Data!G316,"")</f>
      </c>
      <c r="B474" s="62">
        <f>IF(AND(Data!R316&lt;&gt;"",Data!L316="Accept&amp;#233;"),Data!L316,"")</f>
      </c>
      <c r="C474" s="63">
        <f>IF(D474&lt;&gt;"","S"&amp;TEXT(WEEKNUM(D474),"00"),"")</f>
      </c>
      <c r="D474" s="42">
        <f>IF(AND(Data!Q316&lt;&gt;"",Data!L316="Accept&amp;#233;"),Data!Q316,"")</f>
        <v>25569.041666666668</v>
      </c>
      <c r="E474" s="64">
        <f>IF(AND(Data!R316&lt;&gt;"",Data!L316="Accept&amp;#233;"),Data!R316,"")</f>
      </c>
      <c r="F474" s="65">
        <f>IF(AND(Data!R316&lt;&gt;"",Data!L316="Accept&amp;#233;"),Data!S316,"")</f>
      </c>
      <c r="G474" s="66">
        <f>IF(Data!R316='Delivery Plan'!E474,Data!U316,"")</f>
      </c>
      <c r="H474" s="53"/>
      <c r="I474" s="63">
        <f>IF(J474&lt;&gt;"","S"&amp;TEXT(WEEKNUM(J474),"00"),"")</f>
      </c>
      <c r="J474" s="42">
        <f>IF(AND(E474=Data!R304,Data!AA304&lt;&gt;""),Data!AA304,"")</f>
        <v>25569.041666666668</v>
      </c>
      <c r="K474" s="67">
        <f>IF(AND(E474=Data!R304,Data!AE304&lt;&gt;""),Data!AE304,"")</f>
        <v>25569.041666666668</v>
      </c>
      <c r="L474" s="68">
        <f>IF(E474=Data!R316,Data!AI316,"")</f>
      </c>
      <c r="M474" s="68">
        <f>IF(E474=Data!R316,Data!AJ316,"")</f>
      </c>
      <c r="N474" s="69">
        <f>IF(AND(Data!R316&lt;&gt;"",Data!L316="Accept&amp;#233;"),Data!K316,"")</f>
      </c>
    </row>
    <row x14ac:dyDescent="0.25" r="475" customHeight="1" ht="19.5" hidden="1">
      <c r="A475" s="62">
        <f>IF(AND(Data!R317&lt;&gt;"",Data!L317="Accept&amp;#233;"),Data!G317,"")</f>
      </c>
      <c r="B475" s="62">
        <f>IF(AND(Data!R317&lt;&gt;"",Data!L317="Accept&amp;#233;"),Data!L317,"")</f>
      </c>
      <c r="C475" s="63">
        <f>IF(D475&lt;&gt;"","S"&amp;TEXT(WEEKNUM(D475),"00"),"")</f>
      </c>
      <c r="D475" s="42">
        <f>IF(AND(Data!Q317&lt;&gt;"",Data!L317="Accept&amp;#233;"),Data!Q317,"")</f>
        <v>25569.041666666668</v>
      </c>
      <c r="E475" s="64">
        <f>IF(AND(Data!R317&lt;&gt;"",Data!L317="Accept&amp;#233;"),Data!R317,"")</f>
      </c>
      <c r="F475" s="65">
        <f>IF(AND(Data!R317&lt;&gt;"",Data!L317="Accept&amp;#233;"),Data!S317,"")</f>
      </c>
      <c r="G475" s="66">
        <f>IF(Data!R317='Delivery Plan'!E475,Data!U317,"")</f>
      </c>
      <c r="H475" s="53"/>
      <c r="I475" s="63">
        <f>IF(J475&lt;&gt;"","S"&amp;TEXT(WEEKNUM(J475),"00"),"")</f>
      </c>
      <c r="J475" s="42">
        <f>IF(AND(E475=Data!R305,Data!AA305&lt;&gt;""),Data!AA305,"")</f>
        <v>25569.041666666668</v>
      </c>
      <c r="K475" s="67">
        <f>IF(AND(E475=Data!R305,Data!AE305&lt;&gt;""),Data!AE305,"")</f>
        <v>25569.041666666668</v>
      </c>
      <c r="L475" s="68">
        <f>IF(E475=Data!R317,Data!AI317,"")</f>
      </c>
      <c r="M475" s="68">
        <f>IF(E475=Data!R317,Data!AJ317,"")</f>
      </c>
      <c r="N475" s="69">
        <f>IF(AND(Data!R317&lt;&gt;"",Data!L317="Accept&amp;#233;"),Data!K317,"")</f>
      </c>
    </row>
    <row x14ac:dyDescent="0.25" r="476" customHeight="1" ht="19.5" hidden="1">
      <c r="A476" s="62">
        <f>IF(AND(Data!R318&lt;&gt;"",Data!L318="Accept&amp;#233;"),Data!G318,"")</f>
      </c>
      <c r="B476" s="62">
        <f>IF(AND(Data!R318&lt;&gt;"",Data!L318="Accept&amp;#233;"),Data!L318,"")</f>
      </c>
      <c r="C476" s="63">
        <f>IF(D476&lt;&gt;"","S"&amp;TEXT(WEEKNUM(D476),"00"),"")</f>
      </c>
      <c r="D476" s="42">
        <f>IF(AND(Data!Q318&lt;&gt;"",Data!L318="Accept&amp;#233;"),Data!Q318,"")</f>
        <v>25569.041666666668</v>
      </c>
      <c r="E476" s="64">
        <f>IF(AND(Data!R318&lt;&gt;"",Data!L318="Accept&amp;#233;"),Data!R318,"")</f>
      </c>
      <c r="F476" s="65">
        <f>IF(AND(Data!R318&lt;&gt;"",Data!L318="Accept&amp;#233;"),Data!S318,"")</f>
      </c>
      <c r="G476" s="66">
        <f>IF(Data!R318='Delivery Plan'!E476,Data!U318,"")</f>
      </c>
      <c r="H476" s="53"/>
      <c r="I476" s="63">
        <f>IF(J476&lt;&gt;"","S"&amp;TEXT(WEEKNUM(J476),"00"),"")</f>
      </c>
      <c r="J476" s="42">
        <f>IF(AND(E476=Data!R306,Data!AA306&lt;&gt;""),Data!AA306,"")</f>
        <v>25569.041666666668</v>
      </c>
      <c r="K476" s="67">
        <f>IF(AND(E476=Data!R306,Data!AE306&lt;&gt;""),Data!AE306,"")</f>
        <v>25569.041666666668</v>
      </c>
      <c r="L476" s="68">
        <f>IF(E476=Data!R318,Data!AI318,"")</f>
      </c>
      <c r="M476" s="68">
        <f>IF(E476=Data!R318,Data!AJ318,"")</f>
      </c>
      <c r="N476" s="69">
        <f>IF(AND(Data!R318&lt;&gt;"",Data!L318="Accept&amp;#233;"),Data!K318,"")</f>
      </c>
    </row>
    <row x14ac:dyDescent="0.25" r="477" customHeight="1" ht="19.5" hidden="1">
      <c r="A477" s="62">
        <f>IF(AND(Data!R319&lt;&gt;"",Data!L319="Accept&amp;#233;"),Data!G319,"")</f>
      </c>
      <c r="B477" s="62">
        <f>IF(AND(Data!R319&lt;&gt;"",Data!L319="Accept&amp;#233;"),Data!L319,"")</f>
      </c>
      <c r="C477" s="63">
        <f>IF(D477&lt;&gt;"","S"&amp;TEXT(WEEKNUM(D477),"00"),"")</f>
      </c>
      <c r="D477" s="42">
        <f>IF(AND(Data!Q319&lt;&gt;"",Data!L319="Accept&amp;#233;"),Data!Q319,"")</f>
        <v>25569.041666666668</v>
      </c>
      <c r="E477" s="64">
        <f>IF(AND(Data!R319&lt;&gt;"",Data!L319="Accept&amp;#233;"),Data!R319,"")</f>
      </c>
      <c r="F477" s="65">
        <f>IF(AND(Data!R319&lt;&gt;"",Data!L319="Accept&amp;#233;"),Data!S319,"")</f>
      </c>
      <c r="G477" s="66">
        <f>IF(Data!R319='Delivery Plan'!E477,Data!U319,"")</f>
      </c>
      <c r="H477" s="53"/>
      <c r="I477" s="63">
        <f>IF(J477&lt;&gt;"","S"&amp;TEXT(WEEKNUM(J477),"00"),"")</f>
      </c>
      <c r="J477" s="42">
        <f>IF(AND(E477=Data!R307,Data!AA307&lt;&gt;""),Data!AA307,"")</f>
        <v>25569.041666666668</v>
      </c>
      <c r="K477" s="67">
        <f>IF(AND(E477=Data!R307,Data!AE307&lt;&gt;""),Data!AE307,"")</f>
        <v>25569.041666666668</v>
      </c>
      <c r="L477" s="68">
        <f>IF(E477=Data!R319,Data!AI319,"")</f>
      </c>
      <c r="M477" s="68">
        <f>IF(E477=Data!R319,Data!AJ319,"")</f>
      </c>
      <c r="N477" s="69">
        <f>IF(AND(Data!R319&lt;&gt;"",Data!L319="Accept&amp;#233;"),Data!K319,"")</f>
      </c>
    </row>
    <row x14ac:dyDescent="0.25" r="478" customHeight="1" ht="19.5" hidden="1">
      <c r="A478" s="62">
        <f>IF(AND(Data!R320&lt;&gt;"",Data!L320="Accept&amp;#233;"),Data!G320,"")</f>
      </c>
      <c r="B478" s="62">
        <f>IF(AND(Data!R320&lt;&gt;"",Data!L320="Accept&amp;#233;"),Data!L320,"")</f>
      </c>
      <c r="C478" s="63">
        <f>IF(D478&lt;&gt;"","S"&amp;TEXT(WEEKNUM(D478),"00"),"")</f>
      </c>
      <c r="D478" s="42">
        <f>IF(AND(Data!Q320&lt;&gt;"",Data!L320="Accept&amp;#233;"),Data!Q320,"")</f>
        <v>25569.041666666668</v>
      </c>
      <c r="E478" s="64">
        <f>IF(AND(Data!R320&lt;&gt;"",Data!L320="Accept&amp;#233;"),Data!R320,"")</f>
      </c>
      <c r="F478" s="65">
        <f>IF(AND(Data!R320&lt;&gt;"",Data!L320="Accept&amp;#233;"),Data!S320,"")</f>
      </c>
      <c r="G478" s="66">
        <f>IF(Data!R320='Delivery Plan'!E478,Data!U320,"")</f>
      </c>
      <c r="H478" s="53"/>
      <c r="I478" s="63">
        <f>IF(J478&lt;&gt;"","S"&amp;TEXT(WEEKNUM(J478),"00"),"")</f>
      </c>
      <c r="J478" s="42">
        <f>IF(AND(E478=Data!R308,Data!AA308&lt;&gt;""),Data!AA308,"")</f>
        <v>25569.041666666668</v>
      </c>
      <c r="K478" s="67">
        <f>IF(AND(E478=Data!R308,Data!AE308&lt;&gt;""),Data!AE308,"")</f>
        <v>25569.041666666668</v>
      </c>
      <c r="L478" s="68">
        <f>IF(E478=Data!R320,Data!AI320,"")</f>
      </c>
      <c r="M478" s="68">
        <f>IF(E478=Data!R320,Data!AJ320,"")</f>
      </c>
      <c r="N478" s="69">
        <f>IF(AND(Data!R320&lt;&gt;"",Data!L320="Accept&amp;#233;"),Data!K320,"")</f>
      </c>
    </row>
    <row x14ac:dyDescent="0.25" r="479" customHeight="1" ht="19.5" hidden="1">
      <c r="A479" s="62">
        <f>IF(AND(Data!R321&lt;&gt;"",Data!L321="Accept&amp;#233;"),Data!G321,"")</f>
      </c>
      <c r="B479" s="62">
        <f>IF(AND(Data!R321&lt;&gt;"",Data!L321="Accept&amp;#233;"),Data!L321,"")</f>
      </c>
      <c r="C479" s="63">
        <f>IF(D479&lt;&gt;"","S"&amp;TEXT(WEEKNUM(D479),"00"),"")</f>
      </c>
      <c r="D479" s="42">
        <f>IF(AND(Data!Q321&lt;&gt;"",Data!L321="Accept&amp;#233;"),Data!Q321,"")</f>
        <v>25569.041666666668</v>
      </c>
      <c r="E479" s="64">
        <f>IF(AND(Data!R321&lt;&gt;"",Data!L321="Accept&amp;#233;"),Data!R321,"")</f>
      </c>
      <c r="F479" s="65">
        <f>IF(AND(Data!R321&lt;&gt;"",Data!L321="Accept&amp;#233;"),Data!S321,"")</f>
      </c>
      <c r="G479" s="66">
        <f>IF(Data!R321='Delivery Plan'!E479,Data!U321,"")</f>
      </c>
      <c r="H479" s="53"/>
      <c r="I479" s="63">
        <f>IF(J479&lt;&gt;"","S"&amp;TEXT(WEEKNUM(J479),"00"),"")</f>
      </c>
      <c r="J479" s="42">
        <f>IF(AND(E479=Data!R309,Data!AA309&lt;&gt;""),Data!AA309,"")</f>
        <v>25569.041666666668</v>
      </c>
      <c r="K479" s="67">
        <f>IF(AND(E479=Data!R309,Data!AE309&lt;&gt;""),Data!AE309,"")</f>
        <v>25569.041666666668</v>
      </c>
      <c r="L479" s="68">
        <f>IF(E479=Data!R321,Data!AI321,"")</f>
      </c>
      <c r="M479" s="68">
        <f>IF(E479=Data!R321,Data!AJ321,"")</f>
      </c>
      <c r="N479" s="69">
        <f>IF(AND(Data!R321&lt;&gt;"",Data!L321="Accept&amp;#233;"),Data!K321,"")</f>
      </c>
    </row>
    <row x14ac:dyDescent="0.25" r="480" customHeight="1" ht="19.5" hidden="1">
      <c r="A480" s="62">
        <f>IF(AND(Data!R322&lt;&gt;"",Data!L322="Accept&amp;#233;"),Data!G322,"")</f>
      </c>
      <c r="B480" s="62">
        <f>IF(AND(Data!R322&lt;&gt;"",Data!L322="Accept&amp;#233;"),Data!L322,"")</f>
      </c>
      <c r="C480" s="63">
        <f>IF(D480&lt;&gt;"","S"&amp;TEXT(WEEKNUM(D480),"00"),"")</f>
      </c>
      <c r="D480" s="42">
        <f>IF(AND(Data!Q322&lt;&gt;"",Data!L322="Accept&amp;#233;"),Data!Q322,"")</f>
        <v>25569.041666666668</v>
      </c>
      <c r="E480" s="64">
        <f>IF(AND(Data!R322&lt;&gt;"",Data!L322="Accept&amp;#233;"),Data!R322,"")</f>
      </c>
      <c r="F480" s="65">
        <f>IF(AND(Data!R322&lt;&gt;"",Data!L322="Accept&amp;#233;"),Data!S322,"")</f>
      </c>
      <c r="G480" s="66">
        <f>IF(Data!R322='Delivery Plan'!E480,Data!U322,"")</f>
      </c>
      <c r="H480" s="53"/>
      <c r="I480" s="63">
        <f>IF(J480&lt;&gt;"","S"&amp;TEXT(WEEKNUM(J480),"00"),"")</f>
      </c>
      <c r="J480" s="42">
        <f>IF(AND(E480=Data!R310,Data!AA310&lt;&gt;""),Data!AA310,"")</f>
        <v>25569.041666666668</v>
      </c>
      <c r="K480" s="67">
        <f>IF(AND(E480=Data!R310,Data!AE310&lt;&gt;""),Data!AE310,"")</f>
        <v>25569.041666666668</v>
      </c>
      <c r="L480" s="68">
        <f>IF(E480=Data!R322,Data!AI322,"")</f>
      </c>
      <c r="M480" s="68">
        <f>IF(E480=Data!R322,Data!AJ322,"")</f>
      </c>
      <c r="N480" s="69">
        <f>IF(AND(Data!R322&lt;&gt;"",Data!L322="Accept&amp;#233;"),Data!K322,"")</f>
      </c>
    </row>
    <row x14ac:dyDescent="0.25" r="481" customHeight="1" ht="19.5" hidden="1">
      <c r="A481" s="62">
        <f>IF(AND(Data!R323&lt;&gt;"",Data!L323="Accept&amp;#233;"),Data!G323,"")</f>
      </c>
      <c r="B481" s="62">
        <f>IF(AND(Data!R323&lt;&gt;"",Data!L323="Accept&amp;#233;"),Data!L323,"")</f>
      </c>
      <c r="C481" s="63">
        <f>IF(D481&lt;&gt;"","S"&amp;TEXT(WEEKNUM(D481),"00"),"")</f>
      </c>
      <c r="D481" s="42">
        <f>IF(AND(Data!Q323&lt;&gt;"",Data!L323="Accept&amp;#233;"),Data!Q323,"")</f>
        <v>25569.041666666668</v>
      </c>
      <c r="E481" s="64">
        <f>IF(AND(Data!R323&lt;&gt;"",Data!L323="Accept&amp;#233;"),Data!R323,"")</f>
      </c>
      <c r="F481" s="65">
        <f>IF(AND(Data!R323&lt;&gt;"",Data!L323="Accept&amp;#233;"),Data!S323,"")</f>
      </c>
      <c r="G481" s="66">
        <f>IF(Data!R323='Delivery Plan'!E481,Data!U323,"")</f>
      </c>
      <c r="H481" s="53"/>
      <c r="I481" s="63">
        <f>IF(J481&lt;&gt;"","S"&amp;TEXT(WEEKNUM(J481),"00"),"")</f>
      </c>
      <c r="J481" s="42">
        <f>IF(AND(E481=Data!R311,Data!AA311&lt;&gt;""),Data!AA311,"")</f>
        <v>25569.041666666668</v>
      </c>
      <c r="K481" s="67">
        <f>IF(AND(E481=Data!R311,Data!AE311&lt;&gt;""),Data!AE311,"")</f>
        <v>25569.041666666668</v>
      </c>
      <c r="L481" s="68">
        <f>IF(E481=Data!R323,Data!AI323,"")</f>
      </c>
      <c r="M481" s="68">
        <f>IF(E481=Data!R323,Data!AJ323,"")</f>
      </c>
      <c r="N481" s="69">
        <f>IF(AND(Data!R323&lt;&gt;"",Data!L323="Accept&amp;#233;"),Data!K323,"")</f>
      </c>
    </row>
    <row x14ac:dyDescent="0.25" r="482" customHeight="1" ht="19.5" hidden="1">
      <c r="A482" s="62">
        <f>IF(AND(Data!R324&lt;&gt;"",Data!L324="Accept&amp;#233;"),Data!G324,"")</f>
      </c>
      <c r="B482" s="62">
        <f>IF(AND(Data!R324&lt;&gt;"",Data!L324="Accept&amp;#233;"),Data!L324,"")</f>
      </c>
      <c r="C482" s="63">
        <f>IF(D482&lt;&gt;"","S"&amp;TEXT(WEEKNUM(D482),"00"),"")</f>
      </c>
      <c r="D482" s="42">
        <f>IF(AND(Data!Q324&lt;&gt;"",Data!L324="Accept&amp;#233;"),Data!Q324,"")</f>
        <v>25569.041666666668</v>
      </c>
      <c r="E482" s="64">
        <f>IF(AND(Data!R324&lt;&gt;"",Data!L324="Accept&amp;#233;"),Data!R324,"")</f>
      </c>
      <c r="F482" s="65">
        <f>IF(AND(Data!R324&lt;&gt;"",Data!L324="Accept&amp;#233;"),Data!S324,"")</f>
      </c>
      <c r="G482" s="66">
        <f>IF(Data!R324='Delivery Plan'!E482,Data!U324,"")</f>
      </c>
      <c r="H482" s="53"/>
      <c r="I482" s="63">
        <f>IF(J482&lt;&gt;"","S"&amp;TEXT(WEEKNUM(J482),"00"),"")</f>
      </c>
      <c r="J482" s="42">
        <f>IF(AND(E482=Data!R317,Data!AA317&lt;&gt;""),Data!AA317,"")</f>
        <v>25569.041666666668</v>
      </c>
      <c r="K482" s="67">
        <f>IF(AND(E482=Data!R317,Data!AE317&lt;&gt;""),Data!AE317,"")</f>
        <v>25569.041666666668</v>
      </c>
      <c r="L482" s="68">
        <f>IF(E482=Data!R324,Data!AI324,"")</f>
      </c>
      <c r="M482" s="68">
        <f>IF(E482=Data!R324,Data!AJ324,"")</f>
      </c>
      <c r="N482" s="69">
        <f>IF(AND(Data!R324&lt;&gt;"",Data!L324="Accept&amp;#233;"),Data!K324,"")</f>
      </c>
    </row>
    <row x14ac:dyDescent="0.25" r="483" customHeight="1" ht="19.5" hidden="1">
      <c r="A483" s="62">
        <f>IF(AND(Data!R325&lt;&gt;"",Data!L325="Accept&amp;#233;"),Data!G325,"")</f>
      </c>
      <c r="B483" s="62">
        <f>IF(AND(Data!R325&lt;&gt;"",Data!L325="Accept&amp;#233;"),Data!L325,"")</f>
      </c>
      <c r="C483" s="63">
        <f>IF(D483&lt;&gt;"","S"&amp;TEXT(WEEKNUM(D483),"00"),"")</f>
      </c>
      <c r="D483" s="42">
        <f>IF(AND(Data!Q325&lt;&gt;"",Data!L325="Accept&amp;#233;"),Data!Q325,"")</f>
        <v>25569.041666666668</v>
      </c>
      <c r="E483" s="64">
        <f>IF(AND(Data!R325&lt;&gt;"",Data!L325="Accept&amp;#233;"),Data!R325,"")</f>
      </c>
      <c r="F483" s="65">
        <f>IF(AND(Data!R325&lt;&gt;"",Data!L325="Accept&amp;#233;"),Data!S325,"")</f>
      </c>
      <c r="G483" s="66">
        <f>IF(Data!R325='Delivery Plan'!E483,Data!U325,"")</f>
      </c>
      <c r="H483" s="53"/>
      <c r="I483" s="63">
        <f>IF(J483&lt;&gt;"","S"&amp;TEXT(WEEKNUM(J483),"00"),"")</f>
      </c>
      <c r="J483" s="42">
        <f>IF(AND(E483=Data!R318,Data!AA318&lt;&gt;""),Data!AA318,"")</f>
        <v>25569.041666666668</v>
      </c>
      <c r="K483" s="67">
        <f>IF(AND(E483=Data!R318,Data!AE318&lt;&gt;""),Data!AE318,"")</f>
        <v>25569.041666666668</v>
      </c>
      <c r="L483" s="68">
        <f>IF(E483=Data!R325,Data!AI325,"")</f>
      </c>
      <c r="M483" s="68">
        <f>IF(E483=Data!R325,Data!AJ325,"")</f>
      </c>
      <c r="N483" s="69">
        <f>IF(AND(Data!R325&lt;&gt;"",Data!L325="Accept&amp;#233;"),Data!K325,"")</f>
      </c>
    </row>
    <row x14ac:dyDescent="0.25" r="484" customHeight="1" ht="19.5" hidden="1">
      <c r="A484" s="62">
        <f>IF(AND(Data!R326&lt;&gt;"",Data!L326="Accept&amp;#233;"),Data!G326,"")</f>
      </c>
      <c r="B484" s="62">
        <f>IF(AND(Data!R326&lt;&gt;"",Data!L326="Accept&amp;#233;"),Data!L326,"")</f>
      </c>
      <c r="C484" s="63">
        <f>IF(D484&lt;&gt;"","S"&amp;TEXT(WEEKNUM(D484),"00"),"")</f>
      </c>
      <c r="D484" s="42">
        <f>IF(AND(Data!Q326&lt;&gt;"",Data!L326="Accept&amp;#233;"),Data!Q326,"")</f>
        <v>25569.041666666668</v>
      </c>
      <c r="E484" s="64">
        <f>IF(AND(Data!R326&lt;&gt;"",Data!L326="Accept&amp;#233;"),Data!R326,"")</f>
      </c>
      <c r="F484" s="65">
        <f>IF(AND(Data!R326&lt;&gt;"",Data!L326="Accept&amp;#233;"),Data!S326,"")</f>
      </c>
      <c r="G484" s="66">
        <f>IF(Data!R326='Delivery Plan'!E484,Data!U326,"")</f>
      </c>
      <c r="H484" s="53"/>
      <c r="I484" s="63">
        <f>IF(J484&lt;&gt;"","S"&amp;TEXT(WEEKNUM(J484),"00"),"")</f>
      </c>
      <c r="J484" s="42">
        <f>IF(AND(E484=Data!R319,Data!AA319&lt;&gt;""),Data!AA319,"")</f>
        <v>25569.041666666668</v>
      </c>
      <c r="K484" s="67">
        <f>IF(AND(E484=Data!R319,Data!AE319&lt;&gt;""),Data!AE319,"")</f>
        <v>25569.041666666668</v>
      </c>
      <c r="L484" s="68">
        <f>IF(E484=Data!R326,Data!AI326,"")</f>
      </c>
      <c r="M484" s="68">
        <f>IF(E484=Data!R326,Data!AJ326,"")</f>
      </c>
      <c r="N484" s="69">
        <f>IF(AND(Data!R326&lt;&gt;"",Data!L326="Accept&amp;#233;"),Data!K326,"")</f>
      </c>
    </row>
    <row x14ac:dyDescent="0.25" r="485" customHeight="1" ht="19.5" hidden="1">
      <c r="A485" s="62">
        <f>IF(AND(Data!R327&lt;&gt;"",Data!L327="Accept&amp;#233;"),Data!G327,"")</f>
      </c>
      <c r="B485" s="62">
        <f>IF(AND(Data!R327&lt;&gt;"",Data!L327="Accept&amp;#233;"),Data!L327,"")</f>
      </c>
      <c r="C485" s="63">
        <f>IF(D485&lt;&gt;"","S"&amp;TEXT(WEEKNUM(D485),"00"),"")</f>
      </c>
      <c r="D485" s="42">
        <f>IF(AND(Data!Q327&lt;&gt;"",Data!L327="Accept&amp;#233;"),Data!Q327,"")</f>
        <v>25569.041666666668</v>
      </c>
      <c r="E485" s="64">
        <f>IF(AND(Data!R327&lt;&gt;"",Data!L327="Accept&amp;#233;"),Data!R327,"")</f>
      </c>
      <c r="F485" s="65">
        <f>IF(AND(Data!R327&lt;&gt;"",Data!L327="Accept&amp;#233;"),Data!S327,"")</f>
      </c>
      <c r="G485" s="66">
        <f>IF(Data!R327='Delivery Plan'!E485,Data!U327,"")</f>
      </c>
      <c r="H485" s="53"/>
      <c r="I485" s="63">
        <f>IF(J485&lt;&gt;"","S"&amp;TEXT(WEEKNUM(J485),"00"),"")</f>
      </c>
      <c r="J485" s="42">
        <f>IF(AND(E485=Data!R320,Data!AA320&lt;&gt;""),Data!AA320,"")</f>
        <v>25569.041666666668</v>
      </c>
      <c r="K485" s="67">
        <f>IF(AND(E485=Data!R320,Data!AE320&lt;&gt;""),Data!AE320,"")</f>
        <v>25569.041666666668</v>
      </c>
      <c r="L485" s="68">
        <f>IF(E485=Data!R327,Data!AI327,"")</f>
      </c>
      <c r="M485" s="68">
        <f>IF(E485=Data!R327,Data!AJ327,"")</f>
      </c>
      <c r="N485" s="69">
        <f>IF(AND(Data!R327&lt;&gt;"",Data!L327="Accept&amp;#233;"),Data!K327,"")</f>
      </c>
    </row>
    <row x14ac:dyDescent="0.25" r="486" customHeight="1" ht="19.5" hidden="1">
      <c r="A486" s="62">
        <f>IF(AND(Data!R328&lt;&gt;"",Data!L328="Accept&amp;#233;"),Data!G328,"")</f>
      </c>
      <c r="B486" s="62">
        <f>IF(AND(Data!R328&lt;&gt;"",Data!L328="Accept&amp;#233;"),Data!L328,"")</f>
      </c>
      <c r="C486" s="63">
        <f>IF(D486&lt;&gt;"","S"&amp;TEXT(WEEKNUM(D486),"00"),"")</f>
      </c>
      <c r="D486" s="42">
        <f>IF(AND(Data!Q328&lt;&gt;"",Data!L328="Accept&amp;#233;"),Data!Q328,"")</f>
        <v>25569.041666666668</v>
      </c>
      <c r="E486" s="64">
        <f>IF(AND(Data!R328&lt;&gt;"",Data!L328="Accept&amp;#233;"),Data!R328,"")</f>
      </c>
      <c r="F486" s="65">
        <f>IF(AND(Data!R328&lt;&gt;"",Data!L328="Accept&amp;#233;"),Data!S328,"")</f>
      </c>
      <c r="G486" s="66">
        <f>IF(Data!R328='Delivery Plan'!E486,Data!U328,"")</f>
      </c>
      <c r="H486" s="53"/>
      <c r="I486" s="63">
        <f>IF(J486&lt;&gt;"","S"&amp;TEXT(WEEKNUM(J486),"00"),"")</f>
      </c>
      <c r="J486" s="42">
        <f>IF(AND(E486=Data!R321,Data!AA321&lt;&gt;""),Data!AA321,"")</f>
        <v>25569.041666666668</v>
      </c>
      <c r="K486" s="67">
        <f>IF(AND(E486=Data!R321,Data!AE321&lt;&gt;""),Data!AE321,"")</f>
        <v>25569.041666666668</v>
      </c>
      <c r="L486" s="68">
        <f>IF(E486=Data!R328,Data!AI328,"")</f>
      </c>
      <c r="M486" s="68">
        <f>IF(E486=Data!R328,Data!AJ328,"")</f>
      </c>
      <c r="N486" s="69">
        <f>IF(AND(Data!R328&lt;&gt;"",Data!L328="Accept&amp;#233;"),Data!K328,"")</f>
      </c>
    </row>
    <row x14ac:dyDescent="0.25" r="487" customHeight="1" ht="19.5" hidden="1">
      <c r="A487" s="62">
        <f>IF(AND(Data!R329&lt;&gt;"",Data!L329="Accept&amp;#233;"),Data!G329,"")</f>
      </c>
      <c r="B487" s="62">
        <f>IF(AND(Data!R329&lt;&gt;"",Data!L329="Accept&amp;#233;"),Data!L329,"")</f>
      </c>
      <c r="C487" s="63">
        <f>IF(D487&lt;&gt;"","S"&amp;TEXT(WEEKNUM(D487),"00"),"")</f>
      </c>
      <c r="D487" s="42">
        <f>IF(AND(Data!Q329&lt;&gt;"",Data!L329="Accept&amp;#233;"),Data!Q329,"")</f>
        <v>25569.041666666668</v>
      </c>
      <c r="E487" s="64">
        <f>IF(AND(Data!R329&lt;&gt;"",Data!L329="Accept&amp;#233;"),Data!R329,"")</f>
      </c>
      <c r="F487" s="65">
        <f>IF(AND(Data!R329&lt;&gt;"",Data!L329="Accept&amp;#233;"),Data!S329,"")</f>
      </c>
      <c r="G487" s="66">
        <f>IF(Data!R329='Delivery Plan'!E487,Data!U329,"")</f>
      </c>
      <c r="H487" s="53"/>
      <c r="I487" s="63">
        <f>IF(J487&lt;&gt;"","S"&amp;TEXT(WEEKNUM(J487),"00"),"")</f>
      </c>
      <c r="J487" s="42">
        <f>IF(AND(E487=Data!R322,Data!AA322&lt;&gt;""),Data!AA322,"")</f>
        <v>25569.041666666668</v>
      </c>
      <c r="K487" s="67">
        <f>IF(AND(E487=Data!R322,Data!AE322&lt;&gt;""),Data!AE322,"")</f>
        <v>25569.041666666668</v>
      </c>
      <c r="L487" s="68">
        <f>IF(E487=Data!R329,Data!AI329,"")</f>
      </c>
      <c r="M487" s="68">
        <f>IF(E487=Data!R329,Data!AJ329,"")</f>
      </c>
      <c r="N487" s="69">
        <f>IF(AND(Data!R329&lt;&gt;"",Data!L329="Accept&amp;#233;"),Data!K329,"")</f>
      </c>
    </row>
    <row x14ac:dyDescent="0.25" r="488" customHeight="1" ht="19.5" hidden="1">
      <c r="A488" s="62">
        <f>IF(AND(Data!R330&lt;&gt;"",Data!L330="Accept&amp;#233;"),Data!G330,"")</f>
      </c>
      <c r="B488" s="62">
        <f>IF(AND(Data!R330&lt;&gt;"",Data!L330="Accept&amp;#233;"),Data!L330,"")</f>
      </c>
      <c r="C488" s="63">
        <f>IF(D488&lt;&gt;"","S"&amp;TEXT(WEEKNUM(D488),"00"),"")</f>
      </c>
      <c r="D488" s="42">
        <f>IF(AND(Data!Q330&lt;&gt;"",Data!L330="Accept&amp;#233;"),Data!Q330,"")</f>
        <v>25569.041666666668</v>
      </c>
      <c r="E488" s="64">
        <f>IF(AND(Data!R330&lt;&gt;"",Data!L330="Accept&amp;#233;"),Data!R330,"")</f>
      </c>
      <c r="F488" s="65">
        <f>IF(AND(Data!R330&lt;&gt;"",Data!L330="Accept&amp;#233;"),Data!S330,"")</f>
      </c>
      <c r="G488" s="66">
        <f>IF(Data!R330='Delivery Plan'!E488,Data!U330,"")</f>
      </c>
      <c r="H488" s="53"/>
      <c r="I488" s="63">
        <f>IF(J488&lt;&gt;"","S"&amp;TEXT(WEEKNUM(J488),"00"),"")</f>
      </c>
      <c r="J488" s="42">
        <f>IF(AND(E488=Data!R323,Data!AA323&lt;&gt;""),Data!AA323,"")</f>
        <v>25569.041666666668</v>
      </c>
      <c r="K488" s="67">
        <f>IF(AND(E488=Data!R323,Data!AE323&lt;&gt;""),Data!AE323,"")</f>
        <v>25569.041666666668</v>
      </c>
      <c r="L488" s="68">
        <f>IF(E488=Data!R330,Data!AI330,"")</f>
      </c>
      <c r="M488" s="68">
        <f>IF(E488=Data!R330,Data!AJ330,"")</f>
      </c>
      <c r="N488" s="69">
        <f>IF(AND(Data!R330&lt;&gt;"",Data!L330="Accept&amp;#233;"),Data!K330,"")</f>
      </c>
    </row>
    <row x14ac:dyDescent="0.25" r="489" customHeight="1" ht="19.5" hidden="1">
      <c r="A489" s="62">
        <f>IF(AND(Data!R331&lt;&gt;"",Data!L331="Accept&amp;#233;"),Data!G331,"")</f>
      </c>
      <c r="B489" s="62">
        <f>IF(AND(Data!R331&lt;&gt;"",Data!L331="Accept&amp;#233;"),Data!L331,"")</f>
      </c>
      <c r="C489" s="63">
        <f>IF(D489&lt;&gt;"","S"&amp;TEXT(WEEKNUM(D489),"00"),"")</f>
      </c>
      <c r="D489" s="42">
        <f>IF(AND(Data!Q331&lt;&gt;"",Data!L331="Accept&amp;#233;"),Data!Q331,"")</f>
        <v>25569.041666666668</v>
      </c>
      <c r="E489" s="64">
        <f>IF(AND(Data!R331&lt;&gt;"",Data!L331="Accept&amp;#233;"),Data!R331,"")</f>
      </c>
      <c r="F489" s="65">
        <f>IF(AND(Data!R331&lt;&gt;"",Data!L331="Accept&amp;#233;"),Data!S331,"")</f>
      </c>
      <c r="G489" s="66">
        <f>IF(Data!R331='Delivery Plan'!E489,Data!U331,"")</f>
      </c>
      <c r="H489" s="53"/>
      <c r="I489" s="63">
        <f>IF(J489&lt;&gt;"","S"&amp;TEXT(WEEKNUM(J489),"00"),"")</f>
      </c>
      <c r="J489" s="42">
        <f>IF(AND(E489=Data!R324,Data!AA324&lt;&gt;""),Data!AA324,"")</f>
        <v>25569.041666666668</v>
      </c>
      <c r="K489" s="67">
        <f>IF(AND(E489=Data!R324,Data!AE324&lt;&gt;""),Data!AE324,"")</f>
        <v>25569.041666666668</v>
      </c>
      <c r="L489" s="68">
        <f>IF(E489=Data!R331,Data!AI331,"")</f>
      </c>
      <c r="M489" s="68">
        <f>IF(E489=Data!R331,Data!AJ331,"")</f>
      </c>
      <c r="N489" s="69">
        <f>IF(AND(Data!R331&lt;&gt;"",Data!L331="Accept&amp;#233;"),Data!K331,"")</f>
      </c>
    </row>
    <row x14ac:dyDescent="0.25" r="490" customHeight="1" ht="19.5" hidden="1">
      <c r="A490" s="62">
        <f>IF(AND(Data!R332&lt;&gt;"",Data!L332="Accept&amp;#233;"),Data!G332,"")</f>
      </c>
      <c r="B490" s="62">
        <f>IF(AND(Data!R332&lt;&gt;"",Data!L332="Accept&amp;#233;"),Data!L332,"")</f>
      </c>
      <c r="C490" s="63">
        <f>IF(D490&lt;&gt;"","S"&amp;TEXT(WEEKNUM(D490),"00"),"")</f>
      </c>
      <c r="D490" s="42">
        <f>IF(AND(Data!Q332&lt;&gt;"",Data!L332="Accept&amp;#233;"),Data!Q332,"")</f>
        <v>25569.041666666668</v>
      </c>
      <c r="E490" s="64">
        <f>IF(AND(Data!R332&lt;&gt;"",Data!L332="Accept&amp;#233;"),Data!R332,"")</f>
      </c>
      <c r="F490" s="65">
        <f>IF(AND(Data!R332&lt;&gt;"",Data!L332="Accept&amp;#233;"),Data!S332,"")</f>
      </c>
      <c r="G490" s="66">
        <f>IF(Data!R332='Delivery Plan'!E490,Data!U332,"")</f>
      </c>
      <c r="H490" s="53"/>
      <c r="I490" s="63">
        <f>IF(J490&lt;&gt;"","S"&amp;TEXT(WEEKNUM(J490),"00"),"")</f>
      </c>
      <c r="J490" s="42">
        <f>IF(AND(E490=Data!R325,Data!AA325&lt;&gt;""),Data!AA325,"")</f>
        <v>25569.041666666668</v>
      </c>
      <c r="K490" s="67">
        <f>IF(AND(E490=Data!R325,Data!AE325&lt;&gt;""),Data!AE325,"")</f>
        <v>25569.041666666668</v>
      </c>
      <c r="L490" s="68">
        <f>IF(E490=Data!R332,Data!AI332,"")</f>
      </c>
      <c r="M490" s="68">
        <f>IF(E490=Data!R332,Data!AJ332,"")</f>
      </c>
      <c r="N490" s="69">
        <f>IF(AND(Data!R332&lt;&gt;"",Data!L332="Accept&amp;#233;"),Data!K332,"")</f>
      </c>
    </row>
    <row x14ac:dyDescent="0.25" r="491" customHeight="1" ht="19.5" hidden="1">
      <c r="A491" s="62">
        <f>IF(AND(Data!R333&lt;&gt;"",Data!L333="Accept&amp;#233;"),Data!G333,"")</f>
      </c>
      <c r="B491" s="62">
        <f>IF(AND(Data!R333&lt;&gt;"",Data!L333="Accept&amp;#233;"),Data!L333,"")</f>
      </c>
      <c r="C491" s="63">
        <f>IF(D491&lt;&gt;"","S"&amp;TEXT(WEEKNUM(D491),"00"),"")</f>
      </c>
      <c r="D491" s="42">
        <f>IF(AND(Data!Q333&lt;&gt;"",Data!L333="Accept&amp;#233;"),Data!Q333,"")</f>
        <v>25569.041666666668</v>
      </c>
      <c r="E491" s="64">
        <f>IF(AND(Data!R333&lt;&gt;"",Data!L333="Accept&amp;#233;"),Data!R333,"")</f>
      </c>
      <c r="F491" s="65">
        <f>IF(AND(Data!R333&lt;&gt;"",Data!L333="Accept&amp;#233;"),Data!S333,"")</f>
      </c>
      <c r="G491" s="66">
        <f>IF(Data!R333='Delivery Plan'!E491,Data!U333,"")</f>
      </c>
      <c r="H491" s="53"/>
      <c r="I491" s="63">
        <f>IF(J491&lt;&gt;"","S"&amp;TEXT(WEEKNUM(J491),"00"),"")</f>
      </c>
      <c r="J491" s="42">
        <f>IF(AND(E491=Data!R326,Data!AA326&lt;&gt;""),Data!AA326,"")</f>
        <v>25569.041666666668</v>
      </c>
      <c r="K491" s="67">
        <f>IF(AND(E491=Data!R326,Data!AE326&lt;&gt;""),Data!AE326,"")</f>
        <v>25569.041666666668</v>
      </c>
      <c r="L491" s="68">
        <f>IF(E491=Data!R333,Data!AI333,"")</f>
      </c>
      <c r="M491" s="68">
        <f>IF(E491=Data!R333,Data!AJ333,"")</f>
      </c>
      <c r="N491" s="69">
        <f>IF(AND(Data!R333&lt;&gt;"",Data!L333="Accept&amp;#233;"),Data!K333,"")</f>
      </c>
    </row>
    <row x14ac:dyDescent="0.25" r="492" customHeight="1" ht="19.5" hidden="1">
      <c r="A492" s="62">
        <f>IF(AND(Data!R334&lt;&gt;"",Data!L334="Accept&amp;#233;"),Data!G334,"")</f>
      </c>
      <c r="B492" s="62">
        <f>IF(AND(Data!R334&lt;&gt;"",Data!L334="Accept&amp;#233;"),Data!L334,"")</f>
      </c>
      <c r="C492" s="63">
        <f>IF(D492&lt;&gt;"","S"&amp;TEXT(WEEKNUM(D492),"00"),"")</f>
      </c>
      <c r="D492" s="42">
        <f>IF(AND(Data!Q334&lt;&gt;"",Data!L334="Accept&amp;#233;"),Data!Q334,"")</f>
        <v>25569.041666666668</v>
      </c>
      <c r="E492" s="64">
        <f>IF(AND(Data!R334&lt;&gt;"",Data!L334="Accept&amp;#233;"),Data!R334,"")</f>
      </c>
      <c r="F492" s="65">
        <f>IF(AND(Data!R334&lt;&gt;"",Data!L334="Accept&amp;#233;"),Data!S334,"")</f>
      </c>
      <c r="G492" s="66">
        <f>IF(Data!R334='Delivery Plan'!E492,Data!U334,"")</f>
      </c>
      <c r="H492" s="53"/>
      <c r="I492" s="63">
        <f>IF(J492&lt;&gt;"","S"&amp;TEXT(WEEKNUM(J492),"00"),"")</f>
      </c>
      <c r="J492" s="42">
        <f>IF(AND(E492=Data!R327,Data!AA327&lt;&gt;""),Data!AA327,"")</f>
        <v>25569.041666666668</v>
      </c>
      <c r="K492" s="67">
        <f>IF(AND(E492=Data!R327,Data!AE327&lt;&gt;""),Data!AE327,"")</f>
        <v>25569.041666666668</v>
      </c>
      <c r="L492" s="68">
        <f>IF(E492=Data!R334,Data!AI334,"")</f>
      </c>
      <c r="M492" s="68">
        <f>IF(E492=Data!R334,Data!AJ334,"")</f>
      </c>
      <c r="N492" s="69">
        <f>IF(AND(Data!R334&lt;&gt;"",Data!L334="Accept&amp;#233;"),Data!K334,"")</f>
      </c>
    </row>
    <row x14ac:dyDescent="0.25" r="493" customHeight="1" ht="19.5" hidden="1">
      <c r="A493" s="62">
        <f>IF(AND(Data!R335&lt;&gt;"",Data!L335="Accept&amp;#233;"),Data!G335,"")</f>
      </c>
      <c r="B493" s="62">
        <f>IF(AND(Data!R335&lt;&gt;"",Data!L335="Accept&amp;#233;"),Data!L335,"")</f>
      </c>
      <c r="C493" s="63">
        <f>IF(D493&lt;&gt;"","S"&amp;TEXT(WEEKNUM(D493),"00"),"")</f>
      </c>
      <c r="D493" s="42">
        <f>IF(AND(Data!Q335&lt;&gt;"",Data!L335="Accept&amp;#233;"),Data!Q335,"")</f>
        <v>25569.041666666668</v>
      </c>
      <c r="E493" s="64">
        <f>IF(AND(Data!R335&lt;&gt;"",Data!L335="Accept&amp;#233;"),Data!R335,"")</f>
      </c>
      <c r="F493" s="65">
        <f>IF(AND(Data!R335&lt;&gt;"",Data!L335="Accept&amp;#233;"),Data!S335,"")</f>
      </c>
      <c r="G493" s="66">
        <f>IF(Data!R335='Delivery Plan'!E493,Data!U335,"")</f>
      </c>
      <c r="H493" s="53"/>
      <c r="I493" s="63">
        <f>IF(J493&lt;&gt;"","S"&amp;TEXT(WEEKNUM(J493),"00"),"")</f>
      </c>
      <c r="J493" s="42">
        <f>IF(AND(E493=Data!R328,Data!AA328&lt;&gt;""),Data!AA328,"")</f>
        <v>25569.041666666668</v>
      </c>
      <c r="K493" s="67">
        <f>IF(AND(E493=Data!R328,Data!AE328&lt;&gt;""),Data!AE328,"")</f>
        <v>25569.041666666668</v>
      </c>
      <c r="L493" s="68">
        <f>IF(E493=Data!R335,Data!AI335,"")</f>
      </c>
      <c r="M493" s="68">
        <f>IF(E493=Data!R335,Data!AJ335,"")</f>
      </c>
      <c r="N493" s="69">
        <f>IF(AND(Data!R335&lt;&gt;"",Data!L335="Accept&amp;#233;"),Data!K335,"")</f>
      </c>
    </row>
    <row x14ac:dyDescent="0.25" r="494" customHeight="1" ht="19.5" hidden="1">
      <c r="A494" s="62">
        <f>IF(AND(Data!R336&lt;&gt;"",Data!L336="Accept&amp;#233;"),Data!G336,"")</f>
      </c>
      <c r="B494" s="62">
        <f>IF(AND(Data!R336&lt;&gt;"",Data!L336="Accept&amp;#233;"),Data!L336,"")</f>
      </c>
      <c r="C494" s="63">
        <f>IF(D494&lt;&gt;"","S"&amp;TEXT(WEEKNUM(D494),"00"),"")</f>
      </c>
      <c r="D494" s="42">
        <f>IF(AND(Data!Q336&lt;&gt;"",Data!L336="Accept&amp;#233;"),Data!Q336,"")</f>
        <v>25569.041666666668</v>
      </c>
      <c r="E494" s="64">
        <f>IF(AND(Data!R336&lt;&gt;"",Data!L336="Accept&amp;#233;"),Data!R336,"")</f>
      </c>
      <c r="F494" s="65">
        <f>IF(AND(Data!R336&lt;&gt;"",Data!L336="Accept&amp;#233;"),Data!S336,"")</f>
      </c>
      <c r="G494" s="66">
        <f>IF(Data!R336='Delivery Plan'!E494,Data!U336,"")</f>
      </c>
      <c r="H494" s="53"/>
      <c r="I494" s="63">
        <f>IF(J494&lt;&gt;"","S"&amp;TEXT(WEEKNUM(J494),"00"),"")</f>
      </c>
      <c r="J494" s="42">
        <f>IF(AND(E494=Data!R329,Data!AA329&lt;&gt;""),Data!AA329,"")</f>
        <v>25569.041666666668</v>
      </c>
      <c r="K494" s="67">
        <f>IF(AND(E494=Data!R329,Data!AE329&lt;&gt;""),Data!AE329,"")</f>
        <v>25569.041666666668</v>
      </c>
      <c r="L494" s="68">
        <f>IF(E494=Data!R336,Data!AI336,"")</f>
      </c>
      <c r="M494" s="68">
        <f>IF(E494=Data!R336,Data!AJ336,"")</f>
      </c>
      <c r="N494" s="69">
        <f>IF(AND(Data!R336&lt;&gt;"",Data!L336="Accept&amp;#233;"),Data!K336,"")</f>
      </c>
    </row>
    <row x14ac:dyDescent="0.25" r="495" customHeight="1" ht="19.5" hidden="1">
      <c r="A495" s="62">
        <f>IF(AND(Data!R337&lt;&gt;"",Data!L337="Accept&amp;#233;"),Data!G337,"")</f>
      </c>
      <c r="B495" s="62">
        <f>IF(AND(Data!R337&lt;&gt;"",Data!L337="Accept&amp;#233;"),Data!L337,"")</f>
      </c>
      <c r="C495" s="63">
        <f>IF(D495&lt;&gt;"","S"&amp;TEXT(WEEKNUM(D495),"00"),"")</f>
      </c>
      <c r="D495" s="42">
        <f>IF(AND(Data!Q337&lt;&gt;"",Data!L337="Accept&amp;#233;"),Data!Q337,"")</f>
        <v>25569.041666666668</v>
      </c>
      <c r="E495" s="64">
        <f>IF(AND(Data!R337&lt;&gt;"",Data!L337="Accept&amp;#233;"),Data!R337,"")</f>
      </c>
      <c r="F495" s="65">
        <f>IF(AND(Data!R337&lt;&gt;"",Data!L337="Accept&amp;#233;"),Data!S337,"")</f>
      </c>
      <c r="G495" s="66">
        <f>IF(Data!R337='Delivery Plan'!E495,Data!U337,"")</f>
      </c>
      <c r="H495" s="53"/>
      <c r="I495" s="63">
        <f>IF(J495&lt;&gt;"","S"&amp;TEXT(WEEKNUM(J495),"00"),"")</f>
      </c>
      <c r="J495" s="42">
        <f>IF(AND(E495=Data!R330,Data!AA330&lt;&gt;""),Data!AA330,"")</f>
        <v>25569.041666666668</v>
      </c>
      <c r="K495" s="67">
        <f>IF(AND(E495=Data!R330,Data!AE330&lt;&gt;""),Data!AE330,"")</f>
        <v>25569.041666666668</v>
      </c>
      <c r="L495" s="68">
        <f>IF(E495=Data!R337,Data!AI337,"")</f>
      </c>
      <c r="M495" s="68">
        <f>IF(E495=Data!R337,Data!AJ337,"")</f>
      </c>
      <c r="N495" s="69">
        <f>IF(AND(Data!R337&lt;&gt;"",Data!L337="Accept&amp;#233;"),Data!K337,"")</f>
      </c>
    </row>
    <row x14ac:dyDescent="0.25" r="496" customHeight="1" ht="19.5" hidden="1">
      <c r="A496" s="62">
        <f>IF(AND(Data!R338&lt;&gt;"",Data!L338="Accept&amp;#233;"),Data!G338,"")</f>
      </c>
      <c r="B496" s="62">
        <f>IF(AND(Data!R338&lt;&gt;"",Data!L338="Accept&amp;#233;"),Data!L338,"")</f>
      </c>
      <c r="C496" s="63">
        <f>IF(D496&lt;&gt;"","S"&amp;TEXT(WEEKNUM(D496),"00"),"")</f>
      </c>
      <c r="D496" s="42">
        <f>IF(AND(Data!Q338&lt;&gt;"",Data!L338="Accept&amp;#233;"),Data!Q338,"")</f>
        <v>25569.041666666668</v>
      </c>
      <c r="E496" s="64">
        <f>IF(AND(Data!R338&lt;&gt;"",Data!L338="Accept&amp;#233;"),Data!R338,"")</f>
      </c>
      <c r="F496" s="65">
        <f>IF(AND(Data!R338&lt;&gt;"",Data!L338="Accept&amp;#233;"),Data!S338,"")</f>
      </c>
      <c r="G496" s="66">
        <f>IF(Data!R338='Delivery Plan'!E496,Data!U338,"")</f>
      </c>
      <c r="H496" s="53"/>
      <c r="I496" s="63">
        <f>IF(J496&lt;&gt;"","S"&amp;TEXT(WEEKNUM(J496),"00"),"")</f>
      </c>
      <c r="J496" s="42">
        <f>IF(AND(E496=Data!R331,Data!AA331&lt;&gt;""),Data!AA331,"")</f>
        <v>25569.041666666668</v>
      </c>
      <c r="K496" s="67">
        <f>IF(AND(E496=Data!R331,Data!AE331&lt;&gt;""),Data!AE331,"")</f>
        <v>25569.041666666668</v>
      </c>
      <c r="L496" s="68">
        <f>IF(E496=Data!R338,Data!AI338,"")</f>
      </c>
      <c r="M496" s="68">
        <f>IF(E496=Data!R338,Data!AJ338,"")</f>
      </c>
      <c r="N496" s="69">
        <f>IF(AND(Data!R338&lt;&gt;"",Data!L338="Accept&amp;#233;"),Data!K338,"")</f>
      </c>
    </row>
    <row x14ac:dyDescent="0.25" r="497" customHeight="1" ht="19.5" hidden="1">
      <c r="A497" s="62">
        <f>IF(AND(Data!R339&lt;&gt;"",Data!L339="Accept&amp;#233;"),Data!G339,"")</f>
      </c>
      <c r="B497" s="62">
        <f>IF(AND(Data!R339&lt;&gt;"",Data!L339="Accept&amp;#233;"),Data!L339,"")</f>
      </c>
      <c r="C497" s="63">
        <f>IF(D497&lt;&gt;"","S"&amp;TEXT(WEEKNUM(D497),"00"),"")</f>
      </c>
      <c r="D497" s="42">
        <f>IF(AND(Data!Q339&lt;&gt;"",Data!L339="Accept&amp;#233;"),Data!Q339,"")</f>
        <v>25569.041666666668</v>
      </c>
      <c r="E497" s="64">
        <f>IF(AND(Data!R339&lt;&gt;"",Data!L339="Accept&amp;#233;"),Data!R339,"")</f>
      </c>
      <c r="F497" s="65">
        <f>IF(AND(Data!R339&lt;&gt;"",Data!L339="Accept&amp;#233;"),Data!S339,"")</f>
      </c>
      <c r="G497" s="66">
        <f>IF(Data!R339='Delivery Plan'!E497,Data!U339,"")</f>
      </c>
      <c r="H497" s="53"/>
      <c r="I497" s="63">
        <f>IF(J497&lt;&gt;"","S"&amp;TEXT(WEEKNUM(J497),"00"),"")</f>
      </c>
      <c r="J497" s="42">
        <f>IF(AND(E497=Data!R332,Data!AA332&lt;&gt;""),Data!AA332,"")</f>
        <v>25569.041666666668</v>
      </c>
      <c r="K497" s="67">
        <f>IF(AND(E497=Data!R332,Data!AE332&lt;&gt;""),Data!AE332,"")</f>
        <v>25569.041666666668</v>
      </c>
      <c r="L497" s="68">
        <f>IF(E497=Data!R339,Data!AI339,"")</f>
      </c>
      <c r="M497" s="68">
        <f>IF(E497=Data!R339,Data!AJ339,"")</f>
      </c>
      <c r="N497" s="69">
        <f>IF(AND(Data!R339&lt;&gt;"",Data!L339="Accept&amp;#233;"),Data!K339,"")</f>
      </c>
    </row>
    <row x14ac:dyDescent="0.25" r="498" customHeight="1" ht="19.5" hidden="1">
      <c r="A498" s="62">
        <f>IF(AND(Data!R340&lt;&gt;"",Data!L340="Accept&amp;#233;"),Data!G340,"")</f>
      </c>
      <c r="B498" s="62">
        <f>IF(AND(Data!R340&lt;&gt;"",Data!L340="Accept&amp;#233;"),Data!L340,"")</f>
      </c>
      <c r="C498" s="63">
        <f>IF(D498&lt;&gt;"","S"&amp;TEXT(WEEKNUM(D498),"00"),"")</f>
      </c>
      <c r="D498" s="42">
        <f>IF(AND(Data!Q340&lt;&gt;"",Data!L340="Accept&amp;#233;"),Data!Q340,"")</f>
        <v>25569.041666666668</v>
      </c>
      <c r="E498" s="64">
        <f>IF(AND(Data!R340&lt;&gt;"",Data!L340="Accept&amp;#233;"),Data!R340,"")</f>
      </c>
      <c r="F498" s="65">
        <f>IF(AND(Data!R340&lt;&gt;"",Data!L340="Accept&amp;#233;"),Data!S340,"")</f>
      </c>
      <c r="G498" s="66">
        <f>IF(Data!R340='Delivery Plan'!E498,Data!U340,"")</f>
      </c>
      <c r="H498" s="53"/>
      <c r="I498" s="63">
        <f>IF(J498&lt;&gt;"","S"&amp;TEXT(WEEKNUM(J498),"00"),"")</f>
      </c>
      <c r="J498" s="42">
        <f>IF(AND(E498=Data!R333,Data!AA333&lt;&gt;""),Data!AA333,"")</f>
        <v>25569.041666666668</v>
      </c>
      <c r="K498" s="67">
        <f>IF(AND(E498=Data!R333,Data!AE333&lt;&gt;""),Data!AE333,"")</f>
        <v>25569.041666666668</v>
      </c>
      <c r="L498" s="68">
        <f>IF(E498=Data!R340,Data!AI340,"")</f>
      </c>
      <c r="M498" s="68">
        <f>IF(E498=Data!R340,Data!AJ340,"")</f>
      </c>
      <c r="N498" s="69">
        <f>IF(AND(Data!R340&lt;&gt;"",Data!L340="Accept&amp;#233;"),Data!K340,"")</f>
      </c>
    </row>
    <row x14ac:dyDescent="0.25" r="499" customHeight="1" ht="19.5" hidden="1">
      <c r="A499" s="62">
        <f>IF(AND(Data!R341&lt;&gt;"",Data!L341="Accept&amp;#233;"),Data!G341,"")</f>
      </c>
      <c r="B499" s="62">
        <f>IF(AND(Data!R341&lt;&gt;"",Data!L341="Accept&amp;#233;"),Data!L341,"")</f>
      </c>
      <c r="C499" s="63">
        <f>IF(D499&lt;&gt;"","S"&amp;TEXT(WEEKNUM(D499),"00"),"")</f>
      </c>
      <c r="D499" s="42">
        <f>IF(AND(Data!Q341&lt;&gt;"",Data!L341="Accept&amp;#233;"),Data!Q341,"")</f>
        <v>25569.041666666668</v>
      </c>
      <c r="E499" s="64">
        <f>IF(AND(Data!R341&lt;&gt;"",Data!L341="Accept&amp;#233;"),Data!R341,"")</f>
      </c>
      <c r="F499" s="65">
        <f>IF(AND(Data!R341&lt;&gt;"",Data!L341="Accept&amp;#233;"),Data!S341,"")</f>
      </c>
      <c r="G499" s="66">
        <f>IF(Data!R341='Delivery Plan'!E499,Data!U341,"")</f>
      </c>
      <c r="H499" s="53"/>
      <c r="I499" s="63">
        <f>IF(J499&lt;&gt;"","S"&amp;TEXT(WEEKNUM(J499),"00"),"")</f>
      </c>
      <c r="J499" s="42">
        <f>IF(AND(E499=Data!R334,Data!AA334&lt;&gt;""),Data!AA334,"")</f>
        <v>25569.041666666668</v>
      </c>
      <c r="K499" s="67">
        <f>IF(AND(E499=Data!R334,Data!AE334&lt;&gt;""),Data!AE334,"")</f>
        <v>25569.041666666668</v>
      </c>
      <c r="L499" s="68">
        <f>IF(E499=Data!R341,Data!AI341,"")</f>
      </c>
      <c r="M499" s="68">
        <f>IF(E499=Data!R341,Data!AJ341,"")</f>
      </c>
      <c r="N499" s="69">
        <f>IF(AND(Data!R341&lt;&gt;"",Data!L341="Accept&amp;#233;"),Data!K341,"")</f>
      </c>
    </row>
    <row x14ac:dyDescent="0.25" r="500" customHeight="1" ht="19.5" hidden="1">
      <c r="A500" s="62">
        <f>IF(AND(Data!R342&lt;&gt;"",Data!L342="Accept&amp;#233;"),Data!G342,"")</f>
      </c>
      <c r="B500" s="62">
        <f>IF(AND(Data!R342&lt;&gt;"",Data!L342="Accept&amp;#233;"),Data!L342,"")</f>
      </c>
      <c r="C500" s="63">
        <f>IF(D500&lt;&gt;"","S"&amp;TEXT(WEEKNUM(D500),"00"),"")</f>
      </c>
      <c r="D500" s="42">
        <f>IF(AND(Data!Q342&lt;&gt;"",Data!L342="Accept&amp;#233;"),Data!Q342,"")</f>
        <v>25569.041666666668</v>
      </c>
      <c r="E500" s="64">
        <f>IF(AND(Data!R342&lt;&gt;"",Data!L342="Accept&amp;#233;"),Data!R342,"")</f>
      </c>
      <c r="F500" s="65">
        <f>IF(AND(Data!R342&lt;&gt;"",Data!L342="Accept&amp;#233;"),Data!S342,"")</f>
      </c>
      <c r="G500" s="66">
        <f>IF(Data!R342='Delivery Plan'!E500,Data!U342,"")</f>
      </c>
      <c r="H500" s="53"/>
      <c r="I500" s="63">
        <f>IF(J500&lt;&gt;"","S"&amp;TEXT(WEEKNUM(J500),"00"),"")</f>
      </c>
      <c r="J500" s="42">
        <f>IF(AND(E500=Data!R335,Data!AA335&lt;&gt;""),Data!AA335,"")</f>
        <v>25569.041666666668</v>
      </c>
      <c r="K500" s="67">
        <f>IF(AND(E500=Data!R335,Data!AE335&lt;&gt;""),Data!AE335,"")</f>
        <v>25569.041666666668</v>
      </c>
      <c r="L500" s="68">
        <f>IF(E500=Data!R342,Data!AI342,"")</f>
      </c>
      <c r="M500" s="68">
        <f>IF(E500=Data!R342,Data!AJ342,"")</f>
      </c>
      <c r="N500" s="69">
        <f>IF(AND(Data!R342&lt;&gt;"",Data!L342="Accept&amp;#233;"),Data!K342,"")</f>
      </c>
    </row>
    <row x14ac:dyDescent="0.25" r="501" customHeight="1" ht="19.5" hidden="1">
      <c r="A501" s="62">
        <f>IF(AND(Data!R343&lt;&gt;"",Data!L343="Accept&amp;#233;"),Data!G343,"")</f>
      </c>
      <c r="B501" s="62">
        <f>IF(AND(Data!R343&lt;&gt;"",Data!L343="Accept&amp;#233;"),Data!L343,"")</f>
      </c>
      <c r="C501" s="63">
        <f>IF(D501&lt;&gt;"","S"&amp;TEXT(WEEKNUM(D501),"00"),"")</f>
      </c>
      <c r="D501" s="42">
        <f>IF(AND(Data!Q343&lt;&gt;"",Data!L343="Accept&amp;#233;"),Data!Q343,"")</f>
        <v>25569.041666666668</v>
      </c>
      <c r="E501" s="64">
        <f>IF(AND(Data!R343&lt;&gt;"",Data!L343="Accept&amp;#233;"),Data!R343,"")</f>
      </c>
      <c r="F501" s="65">
        <f>IF(AND(Data!R343&lt;&gt;"",Data!L343="Accept&amp;#233;"),Data!S343,"")</f>
      </c>
      <c r="G501" s="66">
        <f>IF(Data!R343='Delivery Plan'!E501,Data!U343,"")</f>
      </c>
      <c r="H501" s="53"/>
      <c r="I501" s="63">
        <f>IF(J501&lt;&gt;"","S"&amp;TEXT(WEEKNUM(J501),"00"),"")</f>
      </c>
      <c r="J501" s="42">
        <f>IF(AND(E501=Data!R336,Data!AA336&lt;&gt;""),Data!AA336,"")</f>
        <v>25569.041666666668</v>
      </c>
      <c r="K501" s="67">
        <f>IF(AND(E501=Data!R336,Data!AE336&lt;&gt;""),Data!AE336,"")</f>
        <v>25569.041666666668</v>
      </c>
      <c r="L501" s="68">
        <f>IF(E501=Data!R343,Data!AI343,"")</f>
      </c>
      <c r="M501" s="68">
        <f>IF(E501=Data!R343,Data!AJ343,"")</f>
      </c>
      <c r="N501" s="69">
        <f>IF(AND(Data!R343&lt;&gt;"",Data!L343="Accept&amp;#233;"),Data!K343,"")</f>
      </c>
    </row>
    <row x14ac:dyDescent="0.25" r="502" customHeight="1" ht="19.5" hidden="1">
      <c r="A502" s="62">
        <f>IF(AND(Data!R344&lt;&gt;"",Data!L344="Accept&amp;#233;"),Data!G344,"")</f>
      </c>
      <c r="B502" s="62">
        <f>IF(AND(Data!R344&lt;&gt;"",Data!L344="Accept&amp;#233;"),Data!L344,"")</f>
      </c>
      <c r="C502" s="63">
        <f>IF(D502&lt;&gt;"","S"&amp;TEXT(WEEKNUM(D502),"00"),"")</f>
      </c>
      <c r="D502" s="42">
        <f>IF(AND(Data!Q344&lt;&gt;"",Data!L344="Accept&amp;#233;"),Data!Q344,"")</f>
        <v>25569.041666666668</v>
      </c>
      <c r="E502" s="64">
        <f>IF(AND(Data!R344&lt;&gt;"",Data!L344="Accept&amp;#233;"),Data!R344,"")</f>
      </c>
      <c r="F502" s="65">
        <f>IF(AND(Data!R344&lt;&gt;"",Data!L344="Accept&amp;#233;"),Data!S344,"")</f>
      </c>
      <c r="G502" s="66">
        <f>IF(Data!R344='Delivery Plan'!E502,Data!U344,"")</f>
      </c>
      <c r="H502" s="53"/>
      <c r="I502" s="63">
        <f>IF(J502&lt;&gt;"","S"&amp;TEXT(WEEKNUM(J502),"00"),"")</f>
      </c>
      <c r="J502" s="42">
        <f>IF(AND(E502=Data!R337,Data!AA337&lt;&gt;""),Data!AA337,"")</f>
        <v>25569.041666666668</v>
      </c>
      <c r="K502" s="67">
        <f>IF(AND(E502=Data!R337,Data!AE337&lt;&gt;""),Data!AE337,"")</f>
        <v>25569.041666666668</v>
      </c>
      <c r="L502" s="68">
        <f>IF(E502=Data!R344,Data!AI344,"")</f>
      </c>
      <c r="M502" s="68">
        <f>IF(E502=Data!R344,Data!AJ344,"")</f>
      </c>
      <c r="N502" s="69">
        <f>IF(AND(Data!R344&lt;&gt;"",Data!L344="Accept&amp;#233;"),Data!K344,"")</f>
      </c>
    </row>
    <row x14ac:dyDescent="0.25" r="503" customHeight="1" ht="19.5" hidden="1">
      <c r="A503" s="62">
        <f>IF(AND(Data!R345&lt;&gt;"",Data!L345="Accept&amp;#233;"),Data!G345,"")</f>
      </c>
      <c r="B503" s="62">
        <f>IF(AND(Data!R345&lt;&gt;"",Data!L345="Accept&amp;#233;"),Data!L345,"")</f>
      </c>
      <c r="C503" s="63">
        <f>IF(D503&lt;&gt;"","S"&amp;TEXT(WEEKNUM(D503),"00"),"")</f>
      </c>
      <c r="D503" s="42">
        <f>IF(AND(Data!Q345&lt;&gt;"",Data!L345="Accept&amp;#233;"),Data!Q345,"")</f>
        <v>25569.041666666668</v>
      </c>
      <c r="E503" s="64">
        <f>IF(AND(Data!R345&lt;&gt;"",Data!L345="Accept&amp;#233;"),Data!R345,"")</f>
      </c>
      <c r="F503" s="65">
        <f>IF(AND(Data!R345&lt;&gt;"",Data!L345="Accept&amp;#233;"),Data!S345,"")</f>
      </c>
      <c r="G503" s="66">
        <f>IF(Data!R345='Delivery Plan'!E503,Data!U345,"")</f>
      </c>
      <c r="H503" s="53"/>
      <c r="I503" s="63">
        <f>IF(J503&lt;&gt;"","S"&amp;TEXT(WEEKNUM(J503),"00"),"")</f>
      </c>
      <c r="J503" s="42">
        <f>IF(AND(E503=Data!R338,Data!AA338&lt;&gt;""),Data!AA338,"")</f>
        <v>25569.041666666668</v>
      </c>
      <c r="K503" s="67">
        <f>IF(AND(E503=Data!R338,Data!AE338&lt;&gt;""),Data!AE338,"")</f>
        <v>25569.041666666668</v>
      </c>
      <c r="L503" s="68">
        <f>IF(E503=Data!R345,Data!AI345,"")</f>
      </c>
      <c r="M503" s="68">
        <f>IF(E503=Data!R345,Data!AJ345,"")</f>
      </c>
      <c r="N503" s="69">
        <f>IF(AND(Data!R345&lt;&gt;"",Data!L345="Accept&amp;#233;"),Data!K345,"")</f>
      </c>
    </row>
    <row x14ac:dyDescent="0.25" r="504" customHeight="1" ht="19.5" hidden="1">
      <c r="A504" s="62">
        <f>IF(AND(Data!R346&lt;&gt;"",Data!L346="Accept&amp;#233;"),Data!G346,"")</f>
      </c>
      <c r="B504" s="62">
        <f>IF(AND(Data!R346&lt;&gt;"",Data!L346="Accept&amp;#233;"),Data!L346,"")</f>
      </c>
      <c r="C504" s="63">
        <f>IF(D504&lt;&gt;"","S"&amp;TEXT(WEEKNUM(D504),"00"),"")</f>
      </c>
      <c r="D504" s="42">
        <f>IF(AND(Data!Q346&lt;&gt;"",Data!L346="Accept&amp;#233;"),Data!Q346,"")</f>
        <v>25569.041666666668</v>
      </c>
      <c r="E504" s="64">
        <f>IF(AND(Data!R346&lt;&gt;"",Data!L346="Accept&amp;#233;"),Data!R346,"")</f>
      </c>
      <c r="F504" s="65">
        <f>IF(AND(Data!R346&lt;&gt;"",Data!L346="Accept&amp;#233;"),Data!S346,"")</f>
      </c>
      <c r="G504" s="66">
        <f>IF(Data!R346='Delivery Plan'!E504,Data!U346,"")</f>
      </c>
      <c r="H504" s="53"/>
      <c r="I504" s="63">
        <f>IF(J504&lt;&gt;"","S"&amp;TEXT(WEEKNUM(J504),"00"),"")</f>
      </c>
      <c r="J504" s="42">
        <f>IF(AND(E504=Data!R339,Data!AA339&lt;&gt;""),Data!AA339,"")</f>
        <v>25569.041666666668</v>
      </c>
      <c r="K504" s="67">
        <f>IF(AND(E504=Data!R339,Data!AE339&lt;&gt;""),Data!AE339,"")</f>
        <v>25569.041666666668</v>
      </c>
      <c r="L504" s="68">
        <f>IF(E504=Data!R346,Data!AI346,"")</f>
      </c>
      <c r="M504" s="68">
        <f>IF(E504=Data!R346,Data!AJ346,"")</f>
      </c>
      <c r="N504" s="69">
        <f>IF(AND(Data!R346&lt;&gt;"",Data!L346="Accept&amp;#233;"),Data!K346,"")</f>
      </c>
    </row>
    <row x14ac:dyDescent="0.25" r="505" customHeight="1" ht="19.5" hidden="1">
      <c r="A505" s="62">
        <f>IF(AND(Data!R347&lt;&gt;"",Data!L347="Accept&amp;#233;"),Data!G347,"")</f>
      </c>
      <c r="B505" s="62">
        <f>IF(AND(Data!R347&lt;&gt;"",Data!L347="Accept&amp;#233;"),Data!L347,"")</f>
      </c>
      <c r="C505" s="63">
        <f>IF(D505&lt;&gt;"","S"&amp;TEXT(WEEKNUM(D505),"00"),"")</f>
      </c>
      <c r="D505" s="42">
        <f>IF(AND(Data!Q347&lt;&gt;"",Data!L347="Accept&amp;#233;"),Data!Q347,"")</f>
        <v>25569.041666666668</v>
      </c>
      <c r="E505" s="64">
        <f>IF(AND(Data!R347&lt;&gt;"",Data!L347="Accept&amp;#233;"),Data!R347,"")</f>
      </c>
      <c r="F505" s="65">
        <f>IF(AND(Data!R347&lt;&gt;"",Data!L347="Accept&amp;#233;"),Data!S347,"")</f>
      </c>
      <c r="G505" s="66">
        <f>IF(Data!R347='Delivery Plan'!E505,Data!U347,"")</f>
      </c>
      <c r="H505" s="53"/>
      <c r="I505" s="63">
        <f>IF(J505&lt;&gt;"","S"&amp;TEXT(WEEKNUM(J505),"00"),"")</f>
      </c>
      <c r="J505" s="42">
        <f>IF(AND(E505=Data!R340,Data!AA340&lt;&gt;""),Data!AA340,"")</f>
        <v>25569.041666666668</v>
      </c>
      <c r="K505" s="67">
        <f>IF(AND(E505=Data!R340,Data!AE340&lt;&gt;""),Data!AE340,"")</f>
        <v>25569.041666666668</v>
      </c>
      <c r="L505" s="68">
        <f>IF(E505=Data!R347,Data!AI347,"")</f>
      </c>
      <c r="M505" s="68">
        <f>IF(E505=Data!R347,Data!AJ347,"")</f>
      </c>
      <c r="N505" s="69">
        <f>IF(AND(Data!R347&lt;&gt;"",Data!L347="Accept&amp;#233;"),Data!K347,"")</f>
      </c>
    </row>
    <row x14ac:dyDescent="0.25" r="506" customHeight="1" ht="19.5" hidden="1">
      <c r="A506" s="62">
        <f>IF(AND(Data!R348&lt;&gt;"",Data!L348="Accept&amp;#233;"),Data!G348,"")</f>
      </c>
      <c r="B506" s="62">
        <f>IF(AND(Data!R348&lt;&gt;"",Data!L348="Accept&amp;#233;"),Data!L348,"")</f>
      </c>
      <c r="C506" s="63">
        <f>IF(D506&lt;&gt;"","S"&amp;TEXT(WEEKNUM(D506),"00"),"")</f>
      </c>
      <c r="D506" s="42">
        <f>IF(AND(Data!Q348&lt;&gt;"",Data!L348="Accept&amp;#233;"),Data!Q348,"")</f>
        <v>25569.041666666668</v>
      </c>
      <c r="E506" s="64">
        <f>IF(AND(Data!R348&lt;&gt;"",Data!L348="Accept&amp;#233;"),Data!R348,"")</f>
      </c>
      <c r="F506" s="65">
        <f>IF(AND(Data!R348&lt;&gt;"",Data!L348="Accept&amp;#233;"),Data!S348,"")</f>
      </c>
      <c r="G506" s="66">
        <f>IF(Data!R348='Delivery Plan'!E506,Data!U348,"")</f>
      </c>
      <c r="H506" s="53"/>
      <c r="I506" s="63">
        <f>IF(J506&lt;&gt;"","S"&amp;TEXT(WEEKNUM(J506),"00"),"")</f>
      </c>
      <c r="J506" s="42">
        <f>IF(AND(E506=Data!R341,Data!AA341&lt;&gt;""),Data!AA341,"")</f>
        <v>25569.041666666668</v>
      </c>
      <c r="K506" s="67">
        <f>IF(AND(E506=Data!R341,Data!AE341&lt;&gt;""),Data!AE341,"")</f>
        <v>25569.041666666668</v>
      </c>
      <c r="L506" s="68">
        <f>IF(E506=Data!R348,Data!AI348,"")</f>
      </c>
      <c r="M506" s="68">
        <f>IF(E506=Data!R348,Data!AJ348,"")</f>
      </c>
      <c r="N506" s="69">
        <f>IF(AND(Data!R348&lt;&gt;"",Data!L348="Accept&amp;#233;"),Data!K348,"")</f>
      </c>
    </row>
    <row x14ac:dyDescent="0.25" r="507" customHeight="1" ht="19.5" hidden="1">
      <c r="A507" s="62">
        <f>IF(AND(Data!R349&lt;&gt;"",Data!L349="Accept&amp;#233;"),Data!G349,"")</f>
      </c>
      <c r="B507" s="62">
        <f>IF(AND(Data!R349&lt;&gt;"",Data!L349="Accept&amp;#233;"),Data!L349,"")</f>
      </c>
      <c r="C507" s="63">
        <f>IF(D507&lt;&gt;"","S"&amp;TEXT(WEEKNUM(D507),"00"),"")</f>
      </c>
      <c r="D507" s="42">
        <f>IF(AND(Data!Q349&lt;&gt;"",Data!L349="Accept&amp;#233;"),Data!Q349,"")</f>
        <v>25569.041666666668</v>
      </c>
      <c r="E507" s="64">
        <f>IF(AND(Data!R349&lt;&gt;"",Data!L349="Accept&amp;#233;"),Data!R349,"")</f>
      </c>
      <c r="F507" s="65">
        <f>IF(AND(Data!R349&lt;&gt;"",Data!L349="Accept&amp;#233;"),Data!S349,"")</f>
      </c>
      <c r="G507" s="66">
        <f>IF(Data!R349='Delivery Plan'!E507,Data!U349,"")</f>
      </c>
      <c r="H507" s="53"/>
      <c r="I507" s="63">
        <f>IF(J507&lt;&gt;"","S"&amp;TEXT(WEEKNUM(J507),"00"),"")</f>
      </c>
      <c r="J507" s="42">
        <f>IF(AND(E507=Data!R342,Data!AA342&lt;&gt;""),Data!AA342,"")</f>
        <v>25569.041666666668</v>
      </c>
      <c r="K507" s="67">
        <f>IF(AND(E507=Data!R342,Data!AE342&lt;&gt;""),Data!AE342,"")</f>
        <v>25569.041666666668</v>
      </c>
      <c r="L507" s="68">
        <f>IF(E507=Data!R349,Data!AI349,"")</f>
      </c>
      <c r="M507" s="68">
        <f>IF(E507=Data!R349,Data!AJ349,"")</f>
      </c>
      <c r="N507" s="69">
        <f>IF(AND(Data!R349&lt;&gt;"",Data!L349="Accept&amp;#233;"),Data!K349,"")</f>
      </c>
    </row>
    <row x14ac:dyDescent="0.25" r="508" customHeight="1" ht="19.5" hidden="1">
      <c r="A508" s="62">
        <f>IF(AND(Data!R350&lt;&gt;"",Data!L350="Accept&amp;#233;"),Data!G350,"")</f>
      </c>
      <c r="B508" s="62">
        <f>IF(AND(Data!R350&lt;&gt;"",Data!L350="Accept&amp;#233;"),Data!L350,"")</f>
      </c>
      <c r="C508" s="63">
        <f>IF(D508&lt;&gt;"","S"&amp;TEXT(WEEKNUM(D508),"00"),"")</f>
      </c>
      <c r="D508" s="42">
        <f>IF(AND(Data!Q350&lt;&gt;"",Data!L350="Accept&amp;#233;"),Data!Q350,"")</f>
        <v>25569.041666666668</v>
      </c>
      <c r="E508" s="64">
        <f>IF(AND(Data!R350&lt;&gt;"",Data!L350="Accept&amp;#233;"),Data!R350,"")</f>
      </c>
      <c r="F508" s="65">
        <f>IF(AND(Data!R350&lt;&gt;"",Data!L350="Accept&amp;#233;"),Data!S350,"")</f>
      </c>
      <c r="G508" s="66">
        <f>IF(Data!R350='Delivery Plan'!E508,Data!U350,"")</f>
      </c>
      <c r="H508" s="53"/>
      <c r="I508" s="63">
        <f>IF(J508&lt;&gt;"","S"&amp;TEXT(WEEKNUM(J508),"00"),"")</f>
      </c>
      <c r="J508" s="42">
        <f>IF(AND(E508=Data!R343,Data!AA343&lt;&gt;""),Data!AA343,"")</f>
        <v>25569.041666666668</v>
      </c>
      <c r="K508" s="67">
        <f>IF(AND(E508=Data!R343,Data!AE343&lt;&gt;""),Data!AE343,"")</f>
        <v>25569.041666666668</v>
      </c>
      <c r="L508" s="68">
        <f>IF(E508=Data!R350,Data!AI350,"")</f>
      </c>
      <c r="M508" s="68">
        <f>IF(E508=Data!R350,Data!AJ350,"")</f>
      </c>
      <c r="N508" s="69">
        <f>IF(AND(Data!R350&lt;&gt;"",Data!L350="Accept&amp;#233;"),Data!K350,"")</f>
      </c>
    </row>
    <row x14ac:dyDescent="0.25" r="509" customHeight="1" ht="19.5" hidden="1">
      <c r="A509" s="62">
        <f>IF(AND(Data!R351&lt;&gt;"",Data!L351="Accept&amp;#233;"),Data!G351,"")</f>
      </c>
      <c r="B509" s="62">
        <f>IF(AND(Data!R351&lt;&gt;"",Data!L351="Accept&amp;#233;"),Data!L351,"")</f>
      </c>
      <c r="C509" s="63">
        <f>IF(D509&lt;&gt;"","S"&amp;TEXT(WEEKNUM(D509),"00"),"")</f>
      </c>
      <c r="D509" s="42">
        <f>IF(AND(Data!Q351&lt;&gt;"",Data!L351="Accept&amp;#233;"),Data!Q351,"")</f>
        <v>25569.041666666668</v>
      </c>
      <c r="E509" s="64">
        <f>IF(AND(Data!R351&lt;&gt;"",Data!L351="Accept&amp;#233;"),Data!R351,"")</f>
      </c>
      <c r="F509" s="65">
        <f>IF(AND(Data!R351&lt;&gt;"",Data!L351="Accept&amp;#233;"),Data!S351,"")</f>
      </c>
      <c r="G509" s="66">
        <f>IF(Data!R351='Delivery Plan'!E509,Data!U351,"")</f>
      </c>
      <c r="H509" s="53"/>
      <c r="I509" s="63">
        <f>IF(J509&lt;&gt;"","S"&amp;TEXT(WEEKNUM(J509),"00"),"")</f>
      </c>
      <c r="J509" s="42">
        <f>IF(AND(E509=Data!R344,Data!AA344&lt;&gt;""),Data!AA344,"")</f>
        <v>25569.041666666668</v>
      </c>
      <c r="K509" s="67">
        <f>IF(AND(E509=Data!R344,Data!AE344&lt;&gt;""),Data!AE344,"")</f>
        <v>25569.041666666668</v>
      </c>
      <c r="L509" s="68">
        <f>IF(E509=Data!R351,Data!AI351,"")</f>
      </c>
      <c r="M509" s="68">
        <f>IF(E509=Data!R351,Data!AJ351,"")</f>
      </c>
      <c r="N509" s="69">
        <f>IF(AND(Data!R351&lt;&gt;"",Data!L351="Accept&amp;#233;"),Data!K351,"")</f>
      </c>
    </row>
    <row x14ac:dyDescent="0.25" r="510" customHeight="1" ht="19.5" hidden="1">
      <c r="A510" s="62">
        <f>IF(AND(Data!R352&lt;&gt;"",Data!L352="Accept&amp;#233;"),Data!G352,"")</f>
      </c>
      <c r="B510" s="62">
        <f>IF(AND(Data!R352&lt;&gt;"",Data!L352="Accept&amp;#233;"),Data!L352,"")</f>
      </c>
      <c r="C510" s="63">
        <f>IF(D510&lt;&gt;"","S"&amp;TEXT(WEEKNUM(D510),"00"),"")</f>
      </c>
      <c r="D510" s="42">
        <f>IF(AND(Data!Q352&lt;&gt;"",Data!L352="Accept&amp;#233;"),Data!Q352,"")</f>
        <v>25569.041666666668</v>
      </c>
      <c r="E510" s="64">
        <f>IF(AND(Data!R352&lt;&gt;"",Data!L352="Accept&amp;#233;"),Data!R352,"")</f>
      </c>
      <c r="F510" s="65">
        <f>IF(AND(Data!R352&lt;&gt;"",Data!L352="Accept&amp;#233;"),Data!S352,"")</f>
      </c>
      <c r="G510" s="66">
        <f>IF(Data!R352='Delivery Plan'!E510,Data!U352,"")</f>
      </c>
      <c r="H510" s="53"/>
      <c r="I510" s="63">
        <f>IF(J510&lt;&gt;"","S"&amp;TEXT(WEEKNUM(J510),"00"),"")</f>
      </c>
      <c r="J510" s="42">
        <f>IF(AND(E510=Data!R345,Data!AA345&lt;&gt;""),Data!AA345,"")</f>
        <v>25569.041666666668</v>
      </c>
      <c r="K510" s="67">
        <f>IF(AND(E510=Data!R345,Data!AE345&lt;&gt;""),Data!AE345,"")</f>
        <v>25569.041666666668</v>
      </c>
      <c r="L510" s="68">
        <f>IF(E510=Data!R352,Data!AI352,"")</f>
      </c>
      <c r="M510" s="68">
        <f>IF(E510=Data!R352,Data!AJ352,"")</f>
      </c>
      <c r="N510" s="69">
        <f>IF(AND(Data!R352&lt;&gt;"",Data!L352="Accept&amp;#233;"),Data!K352,"")</f>
      </c>
    </row>
    <row x14ac:dyDescent="0.25" r="511" customHeight="1" ht="19.5" hidden="1">
      <c r="A511" s="62">
        <f>IF(AND(Data!R353&lt;&gt;"",Data!L353="Accept&amp;#233;"),Data!G353,"")</f>
      </c>
      <c r="B511" s="62">
        <f>IF(AND(Data!R353&lt;&gt;"",Data!L353="Accept&amp;#233;"),Data!L353,"")</f>
      </c>
      <c r="C511" s="63">
        <f>IF(D511&lt;&gt;"","S"&amp;TEXT(WEEKNUM(D511),"00"),"")</f>
      </c>
      <c r="D511" s="42">
        <f>IF(AND(Data!Q353&lt;&gt;"",Data!L353="Accept&amp;#233;"),Data!Q353,"")</f>
        <v>25569.041666666668</v>
      </c>
      <c r="E511" s="64">
        <f>IF(AND(Data!R353&lt;&gt;"",Data!L353="Accept&amp;#233;"),Data!R353,"")</f>
      </c>
      <c r="F511" s="65">
        <f>IF(AND(Data!R353&lt;&gt;"",Data!L353="Accept&amp;#233;"),Data!S353,"")</f>
      </c>
      <c r="G511" s="66">
        <f>IF(Data!R353='Delivery Plan'!E511,Data!U353,"")</f>
      </c>
      <c r="H511" s="53"/>
      <c r="I511" s="63">
        <f>IF(J511&lt;&gt;"","S"&amp;TEXT(WEEKNUM(J511),"00"),"")</f>
      </c>
      <c r="J511" s="42">
        <f>IF(AND(E511=Data!R346,Data!AA346&lt;&gt;""),Data!AA346,"")</f>
        <v>25569.041666666668</v>
      </c>
      <c r="K511" s="67">
        <f>IF(AND(E511=Data!R346,Data!AE346&lt;&gt;""),Data!AE346,"")</f>
        <v>25569.041666666668</v>
      </c>
      <c r="L511" s="68">
        <f>IF(E511=Data!R353,Data!AI353,"")</f>
      </c>
      <c r="M511" s="68">
        <f>IF(E511=Data!R353,Data!AJ353,"")</f>
      </c>
      <c r="N511" s="69">
        <f>IF(AND(Data!R353&lt;&gt;"",Data!L353="Accept&amp;#233;"),Data!K353,"")</f>
      </c>
    </row>
    <row x14ac:dyDescent="0.25" r="512" customHeight="1" ht="19.5" hidden="1">
      <c r="A512" s="62">
        <f>IF(AND(Data!R354&lt;&gt;"",Data!L354="Accept&amp;#233;"),Data!G354,"")</f>
      </c>
      <c r="B512" s="62">
        <f>IF(AND(Data!R354&lt;&gt;"",Data!L354="Accept&amp;#233;"),Data!L354,"")</f>
      </c>
      <c r="C512" s="63">
        <f>IF(D512&lt;&gt;"","S"&amp;TEXT(WEEKNUM(D512),"00"),"")</f>
      </c>
      <c r="D512" s="42">
        <f>IF(AND(Data!Q354&lt;&gt;"",Data!L354="Accept&amp;#233;"),Data!Q354,"")</f>
        <v>25569.041666666668</v>
      </c>
      <c r="E512" s="64">
        <f>IF(AND(Data!R354&lt;&gt;"",Data!L354="Accept&amp;#233;"),Data!R354,"")</f>
      </c>
      <c r="F512" s="65">
        <f>IF(AND(Data!R354&lt;&gt;"",Data!L354="Accept&amp;#233;"),Data!S354,"")</f>
      </c>
      <c r="G512" s="66">
        <f>IF(Data!R354='Delivery Plan'!E512,Data!U354,"")</f>
      </c>
      <c r="H512" s="53"/>
      <c r="I512" s="63">
        <f>IF(J512&lt;&gt;"","S"&amp;TEXT(WEEKNUM(J512),"00"),"")</f>
      </c>
      <c r="J512" s="42">
        <f>IF(AND(E512=Data!R347,Data!AA347&lt;&gt;""),Data!AA347,"")</f>
        <v>25569.041666666668</v>
      </c>
      <c r="K512" s="67">
        <f>IF(AND(E512=Data!R347,Data!AE347&lt;&gt;""),Data!AE347,"")</f>
        <v>25569.041666666668</v>
      </c>
      <c r="L512" s="68">
        <f>IF(E512=Data!R354,Data!AI354,"")</f>
      </c>
      <c r="M512" s="68">
        <f>IF(E512=Data!R354,Data!AJ354,"")</f>
      </c>
      <c r="N512" s="69">
        <f>IF(AND(Data!R354&lt;&gt;"",Data!L354="Accept&amp;#233;"),Data!K354,"")</f>
      </c>
    </row>
    <row x14ac:dyDescent="0.25" r="513" customHeight="1" ht="19.5" hidden="1">
      <c r="A513" s="62">
        <f>IF(AND(Data!R355&lt;&gt;"",Data!L355="Accept&amp;#233;"),Data!G355,"")</f>
      </c>
      <c r="B513" s="62">
        <f>IF(AND(Data!R355&lt;&gt;"",Data!L355="Accept&amp;#233;"),Data!L355,"")</f>
      </c>
      <c r="C513" s="63">
        <f>IF(D513&lt;&gt;"","S"&amp;TEXT(WEEKNUM(D513),"00"),"")</f>
      </c>
      <c r="D513" s="42">
        <f>IF(AND(Data!Q355&lt;&gt;"",Data!L355="Accept&amp;#233;"),Data!Q355,"")</f>
        <v>25569.041666666668</v>
      </c>
      <c r="E513" s="64">
        <f>IF(AND(Data!R355&lt;&gt;"",Data!L355="Accept&amp;#233;"),Data!R355,"")</f>
      </c>
      <c r="F513" s="65">
        <f>IF(AND(Data!R355&lt;&gt;"",Data!L355="Accept&amp;#233;"),Data!S355,"")</f>
      </c>
      <c r="G513" s="66">
        <f>IF(Data!R355='Delivery Plan'!E513,Data!U355,"")</f>
      </c>
      <c r="H513" s="53"/>
      <c r="I513" s="63">
        <f>IF(J513&lt;&gt;"","S"&amp;TEXT(WEEKNUM(J513),"00"),"")</f>
      </c>
      <c r="J513" s="42">
        <f>IF(AND(E513=Data!R348,Data!AA348&lt;&gt;""),Data!AA348,"")</f>
        <v>25569.041666666668</v>
      </c>
      <c r="K513" s="67">
        <f>IF(AND(E513=Data!R348,Data!AE348&lt;&gt;""),Data!AE348,"")</f>
        <v>25569.041666666668</v>
      </c>
      <c r="L513" s="68">
        <f>IF(E513=Data!R355,Data!AI355,"")</f>
      </c>
      <c r="M513" s="68">
        <f>IF(E513=Data!R355,Data!AJ355,"")</f>
      </c>
      <c r="N513" s="69">
        <f>IF(AND(Data!R355&lt;&gt;"",Data!L355="Accept&amp;#233;"),Data!K355,"")</f>
      </c>
    </row>
    <row x14ac:dyDescent="0.25" r="514" customHeight="1" ht="19.5" hidden="1">
      <c r="A514" s="62">
        <f>IF(AND(Data!R356&lt;&gt;"",Data!L356="Accept&amp;#233;"),Data!G356,"")</f>
      </c>
      <c r="B514" s="62">
        <f>IF(AND(Data!R356&lt;&gt;"",Data!L356="Accept&amp;#233;"),Data!L356,"")</f>
      </c>
      <c r="C514" s="63">
        <f>IF(D514&lt;&gt;"","S"&amp;TEXT(WEEKNUM(D514),"00"),"")</f>
      </c>
      <c r="D514" s="42">
        <f>IF(AND(Data!Q356&lt;&gt;"",Data!L356="Accept&amp;#233;"),Data!Q356,"")</f>
        <v>25569.041666666668</v>
      </c>
      <c r="E514" s="64">
        <f>IF(AND(Data!R356&lt;&gt;"",Data!L356="Accept&amp;#233;"),Data!R356,"")</f>
      </c>
      <c r="F514" s="65">
        <f>IF(AND(Data!R356&lt;&gt;"",Data!L356="Accept&amp;#233;"),Data!S356,"")</f>
      </c>
      <c r="G514" s="66">
        <f>IF(Data!R356='Delivery Plan'!E514,Data!U356,"")</f>
      </c>
      <c r="H514" s="53"/>
      <c r="I514" s="63">
        <f>IF(J514&lt;&gt;"","S"&amp;TEXT(WEEKNUM(J514),"00"),"")</f>
      </c>
      <c r="J514" s="42">
        <f>IF(AND(E514=Data!R349,Data!AA349&lt;&gt;""),Data!AA349,"")</f>
        <v>25569.041666666668</v>
      </c>
      <c r="K514" s="67">
        <f>IF(AND(E514=Data!R349,Data!AE349&lt;&gt;""),Data!AE349,"")</f>
        <v>25569.041666666668</v>
      </c>
      <c r="L514" s="68">
        <f>IF(E514=Data!R356,Data!AI356,"")</f>
      </c>
      <c r="M514" s="68">
        <f>IF(E514=Data!R356,Data!AJ356,"")</f>
      </c>
      <c r="N514" s="69">
        <f>IF(AND(Data!R356&lt;&gt;"",Data!L356="Accept&amp;#233;"),Data!K356,"")</f>
      </c>
    </row>
    <row x14ac:dyDescent="0.25" r="515" customHeight="1" ht="19.5" hidden="1">
      <c r="A515" s="62">
        <f>IF(AND(Data!R357&lt;&gt;"",Data!L357="Accept&amp;#233;"),Data!G357,"")</f>
      </c>
      <c r="B515" s="62">
        <f>IF(AND(Data!R357&lt;&gt;"",Data!L357="Accept&amp;#233;"),Data!L357,"")</f>
      </c>
      <c r="C515" s="63">
        <f>IF(D515&lt;&gt;"","S"&amp;TEXT(WEEKNUM(D515),"00"),"")</f>
      </c>
      <c r="D515" s="42">
        <f>IF(AND(Data!Q357&lt;&gt;"",Data!L357="Accept&amp;#233;"),Data!Q357,"")</f>
        <v>25569.041666666668</v>
      </c>
      <c r="E515" s="64">
        <f>IF(AND(Data!R357&lt;&gt;"",Data!L357="Accept&amp;#233;"),Data!R357,"")</f>
      </c>
      <c r="F515" s="65">
        <f>IF(AND(Data!R357&lt;&gt;"",Data!L357="Accept&amp;#233;"),Data!S357,"")</f>
      </c>
      <c r="G515" s="66">
        <f>IF(Data!R357='Delivery Plan'!E515,Data!U357,"")</f>
      </c>
      <c r="H515" s="53"/>
      <c r="I515" s="63">
        <f>IF(J515&lt;&gt;"","S"&amp;TEXT(WEEKNUM(J515),"00"),"")</f>
      </c>
      <c r="J515" s="42">
        <f>IF(AND(E515=Data!R350,Data!AA350&lt;&gt;""),Data!AA350,"")</f>
        <v>25569.041666666668</v>
      </c>
      <c r="K515" s="67">
        <f>IF(AND(E515=Data!R350,Data!AE350&lt;&gt;""),Data!AE350,"")</f>
        <v>25569.041666666668</v>
      </c>
      <c r="L515" s="68">
        <f>IF(E515=Data!R357,Data!AI357,"")</f>
      </c>
      <c r="M515" s="68">
        <f>IF(E515=Data!R357,Data!AJ357,"")</f>
      </c>
      <c r="N515" s="69">
        <f>IF(AND(Data!R357&lt;&gt;"",Data!L357="Accept&amp;#233;"),Data!K357,"")</f>
      </c>
    </row>
    <row x14ac:dyDescent="0.25" r="516" customHeight="1" ht="19.5" hidden="1">
      <c r="A516" s="62">
        <f>IF(AND(Data!R358&lt;&gt;"",Data!L358="Accept&amp;#233;"),Data!G358,"")</f>
      </c>
      <c r="B516" s="62">
        <f>IF(AND(Data!R358&lt;&gt;"",Data!L358="Accept&amp;#233;"),Data!L358,"")</f>
      </c>
      <c r="C516" s="63">
        <f>IF(D516&lt;&gt;"","S"&amp;TEXT(WEEKNUM(D516),"00"),"")</f>
      </c>
      <c r="D516" s="42">
        <f>IF(AND(Data!Q358&lt;&gt;"",Data!L358="Accept&amp;#233;"),Data!Q358,"")</f>
        <v>25569.041666666668</v>
      </c>
      <c r="E516" s="64">
        <f>IF(AND(Data!R358&lt;&gt;"",Data!L358="Accept&amp;#233;"),Data!R358,"")</f>
      </c>
      <c r="F516" s="65">
        <f>IF(AND(Data!R358&lt;&gt;"",Data!L358="Accept&amp;#233;"),Data!S358,"")</f>
      </c>
      <c r="G516" s="66">
        <f>IF(Data!R358='Delivery Plan'!E516,Data!U358,"")</f>
      </c>
      <c r="H516" s="53"/>
      <c r="I516" s="63">
        <f>IF(J516&lt;&gt;"","S"&amp;TEXT(WEEKNUM(J516),"00"),"")</f>
      </c>
      <c r="J516" s="42">
        <f>IF(AND(E516=Data!R351,Data!AA351&lt;&gt;""),Data!AA351,"")</f>
        <v>25569.041666666668</v>
      </c>
      <c r="K516" s="67">
        <f>IF(AND(E516=Data!R351,Data!AE351&lt;&gt;""),Data!AE351,"")</f>
        <v>25569.041666666668</v>
      </c>
      <c r="L516" s="68">
        <f>IF(E516=Data!R358,Data!AI358,"")</f>
      </c>
      <c r="M516" s="68">
        <f>IF(E516=Data!R358,Data!AJ358,"")</f>
      </c>
      <c r="N516" s="69">
        <f>IF(AND(Data!R358&lt;&gt;"",Data!L358="Accept&amp;#233;"),Data!K358,"")</f>
      </c>
    </row>
    <row x14ac:dyDescent="0.25" r="517" customHeight="1" ht="19.5" hidden="1">
      <c r="A517" s="62">
        <f>IF(AND(Data!R359&lt;&gt;"",Data!L359="Accept&amp;#233;"),Data!G359,"")</f>
      </c>
      <c r="B517" s="62">
        <f>IF(AND(Data!R359&lt;&gt;"",Data!L359="Accept&amp;#233;"),Data!L359,"")</f>
      </c>
      <c r="C517" s="63">
        <f>IF(D517&lt;&gt;"","S"&amp;TEXT(WEEKNUM(D517),"00"),"")</f>
      </c>
      <c r="D517" s="42">
        <f>IF(AND(Data!Q359&lt;&gt;"",Data!L359="Accept&amp;#233;"),Data!Q359,"")</f>
        <v>25569.041666666668</v>
      </c>
      <c r="E517" s="64">
        <f>IF(AND(Data!R359&lt;&gt;"",Data!L359="Accept&amp;#233;"),Data!R359,"")</f>
      </c>
      <c r="F517" s="65">
        <f>IF(AND(Data!R359&lt;&gt;"",Data!L359="Accept&amp;#233;"),Data!S359,"")</f>
      </c>
      <c r="G517" s="66">
        <f>IF(Data!R359='Delivery Plan'!E517,Data!U359,"")</f>
      </c>
      <c r="H517" s="53"/>
      <c r="I517" s="63">
        <f>IF(J517&lt;&gt;"","S"&amp;TEXT(WEEKNUM(J517),"00"),"")</f>
      </c>
      <c r="J517" s="42">
        <f>IF(AND(E517=Data!R352,Data!AA352&lt;&gt;""),Data!AA352,"")</f>
        <v>25569.041666666668</v>
      </c>
      <c r="K517" s="67">
        <f>IF(AND(E517=Data!R352,Data!AE352&lt;&gt;""),Data!AE352,"")</f>
        <v>25569.041666666668</v>
      </c>
      <c r="L517" s="68">
        <f>IF(E517=Data!R359,Data!AI359,"")</f>
      </c>
      <c r="M517" s="68">
        <f>IF(E517=Data!R359,Data!AJ359,"")</f>
      </c>
      <c r="N517" s="69">
        <f>IF(AND(Data!R359&lt;&gt;"",Data!L359="Accept&amp;#233;"),Data!K359,"")</f>
      </c>
    </row>
    <row x14ac:dyDescent="0.25" r="518" customHeight="1" ht="19.5" hidden="1">
      <c r="A518" s="62">
        <f>IF(AND(Data!R360&lt;&gt;"",Data!L360="Accept&amp;#233;"),Data!G360,"")</f>
      </c>
      <c r="B518" s="62">
        <f>IF(AND(Data!R360&lt;&gt;"",Data!L360="Accept&amp;#233;"),Data!L360,"")</f>
      </c>
      <c r="C518" s="63">
        <f>IF(D518&lt;&gt;"","S"&amp;TEXT(WEEKNUM(D518),"00"),"")</f>
      </c>
      <c r="D518" s="42">
        <f>IF(AND(Data!Q360&lt;&gt;"",Data!L360="Accept&amp;#233;"),Data!Q360,"")</f>
        <v>25569.041666666668</v>
      </c>
      <c r="E518" s="64">
        <f>IF(AND(Data!R360&lt;&gt;"",Data!L360="Accept&amp;#233;"),Data!R360,"")</f>
      </c>
      <c r="F518" s="65">
        <f>IF(AND(Data!R360&lt;&gt;"",Data!L360="Accept&amp;#233;"),Data!S360,"")</f>
      </c>
      <c r="G518" s="66">
        <f>IF(Data!R360='Delivery Plan'!E518,Data!U360,"")</f>
      </c>
      <c r="H518" s="53"/>
      <c r="I518" s="63">
        <f>IF(J518&lt;&gt;"","S"&amp;TEXT(WEEKNUM(J518),"00"),"")</f>
      </c>
      <c r="J518" s="42">
        <f>IF(AND(E518=Data!R353,Data!AA353&lt;&gt;""),Data!AA353,"")</f>
        <v>25569.041666666668</v>
      </c>
      <c r="K518" s="67">
        <f>IF(AND(E518=Data!R353,Data!AE353&lt;&gt;""),Data!AE353,"")</f>
        <v>25569.041666666668</v>
      </c>
      <c r="L518" s="68">
        <f>IF(E518=Data!R360,Data!AI360,"")</f>
      </c>
      <c r="M518" s="68">
        <f>IF(E518=Data!R360,Data!AJ360,"")</f>
      </c>
      <c r="N518" s="69">
        <f>IF(AND(Data!R360&lt;&gt;"",Data!L360="Accept&amp;#233;"),Data!K360,"")</f>
      </c>
    </row>
    <row x14ac:dyDescent="0.25" r="519" customHeight="1" ht="19.5" hidden="1">
      <c r="A519" s="62">
        <f>IF(AND(Data!R361&lt;&gt;"",Data!L361="Accept&amp;#233;"),Data!G361,"")</f>
      </c>
      <c r="B519" s="62">
        <f>IF(AND(Data!R361&lt;&gt;"",Data!L361="Accept&amp;#233;"),Data!L361,"")</f>
      </c>
      <c r="C519" s="63">
        <f>IF(D519&lt;&gt;"","S"&amp;TEXT(WEEKNUM(D519),"00"),"")</f>
      </c>
      <c r="D519" s="42">
        <f>IF(AND(Data!Q361&lt;&gt;"",Data!L361="Accept&amp;#233;"),Data!Q361,"")</f>
        <v>25569.041666666668</v>
      </c>
      <c r="E519" s="64">
        <f>IF(AND(Data!R361&lt;&gt;"",Data!L361="Accept&amp;#233;"),Data!R361,"")</f>
      </c>
      <c r="F519" s="65">
        <f>IF(AND(Data!R361&lt;&gt;"",Data!L361="Accept&amp;#233;"),Data!S361,"")</f>
      </c>
      <c r="G519" s="66">
        <f>IF(Data!R361='Delivery Plan'!E519,Data!U361,"")</f>
      </c>
      <c r="H519" s="53"/>
      <c r="I519" s="63">
        <f>IF(J519&lt;&gt;"","S"&amp;TEXT(WEEKNUM(J519),"00"),"")</f>
      </c>
      <c r="J519" s="42">
        <f>IF(AND(E519=Data!R354,Data!AA354&lt;&gt;""),Data!AA354,"")</f>
        <v>25569.041666666668</v>
      </c>
      <c r="K519" s="67">
        <f>IF(AND(E519=Data!R354,Data!AE354&lt;&gt;""),Data!AE354,"")</f>
        <v>25569.041666666668</v>
      </c>
      <c r="L519" s="68">
        <f>IF(E519=Data!R361,Data!AI361,"")</f>
      </c>
      <c r="M519" s="68">
        <f>IF(E519=Data!R361,Data!AJ361,"")</f>
      </c>
      <c r="N519" s="69">
        <f>IF(AND(Data!R361&lt;&gt;"",Data!L361="Accept&amp;#233;"),Data!K361,"")</f>
      </c>
    </row>
    <row x14ac:dyDescent="0.25" r="520" customHeight="1" ht="19.5" hidden="1">
      <c r="A520" s="62">
        <f>IF(AND(Data!R362&lt;&gt;"",Data!L362="Accept&amp;#233;"),Data!G362,"")</f>
      </c>
      <c r="B520" s="62">
        <f>IF(AND(Data!R362&lt;&gt;"",Data!L362="Accept&amp;#233;"),Data!L362,"")</f>
      </c>
      <c r="C520" s="63">
        <f>IF(D520&lt;&gt;"","S"&amp;TEXT(WEEKNUM(D520),"00"),"")</f>
      </c>
      <c r="D520" s="42">
        <f>IF(AND(Data!Q362&lt;&gt;"",Data!L362="Accept&amp;#233;"),Data!Q362,"")</f>
        <v>25569.041666666668</v>
      </c>
      <c r="E520" s="64">
        <f>IF(AND(Data!R362&lt;&gt;"",Data!L362="Accept&amp;#233;"),Data!R362,"")</f>
      </c>
      <c r="F520" s="65">
        <f>IF(AND(Data!R362&lt;&gt;"",Data!L362="Accept&amp;#233;"),Data!S362,"")</f>
      </c>
      <c r="G520" s="66">
        <f>IF(Data!R362='Delivery Plan'!E520,Data!U362,"")</f>
      </c>
      <c r="H520" s="53"/>
      <c r="I520" s="63">
        <f>IF(J520&lt;&gt;"","S"&amp;TEXT(WEEKNUM(J520),"00"),"")</f>
      </c>
      <c r="J520" s="42">
        <f>IF(AND(E520=Data!R355,Data!AA355&lt;&gt;""),Data!AA355,"")</f>
        <v>25569.041666666668</v>
      </c>
      <c r="K520" s="67">
        <f>IF(AND(E520=Data!R355,Data!AE355&lt;&gt;""),Data!AE355,"")</f>
        <v>25569.041666666668</v>
      </c>
      <c r="L520" s="68">
        <f>IF(E520=Data!R362,Data!AI362,"")</f>
      </c>
      <c r="M520" s="68">
        <f>IF(E520=Data!R362,Data!AJ362,"")</f>
      </c>
      <c r="N520" s="69">
        <f>IF(AND(Data!R362&lt;&gt;"",Data!L362="Accept&amp;#233;"),Data!K362,"")</f>
      </c>
    </row>
    <row x14ac:dyDescent="0.25" r="521" customHeight="1" ht="19.5" hidden="1">
      <c r="A521" s="62">
        <f>IF(AND(Data!R363&lt;&gt;"",Data!L363="Accept&amp;#233;"),Data!G363,"")</f>
      </c>
      <c r="B521" s="62">
        <f>IF(AND(Data!R363&lt;&gt;"",Data!L363="Accept&amp;#233;"),Data!L363,"")</f>
      </c>
      <c r="C521" s="63">
        <f>IF(D521&lt;&gt;"","S"&amp;TEXT(WEEKNUM(D521),"00"),"")</f>
      </c>
      <c r="D521" s="42">
        <f>IF(AND(Data!Q363&lt;&gt;"",Data!L363="Accept&amp;#233;"),Data!Q363,"")</f>
        <v>25569.041666666668</v>
      </c>
      <c r="E521" s="64">
        <f>IF(AND(Data!R363&lt;&gt;"",Data!L363="Accept&amp;#233;"),Data!R363,"")</f>
      </c>
      <c r="F521" s="65">
        <f>IF(AND(Data!R363&lt;&gt;"",Data!L363="Accept&amp;#233;"),Data!S363,"")</f>
      </c>
      <c r="G521" s="66">
        <f>IF(Data!R363='Delivery Plan'!E521,Data!U363,"")</f>
      </c>
      <c r="H521" s="53"/>
      <c r="I521" s="63">
        <f>IF(J521&lt;&gt;"","S"&amp;TEXT(WEEKNUM(J521),"00"),"")</f>
      </c>
      <c r="J521" s="42">
        <f>IF(AND(E521=Data!R356,Data!AA356&lt;&gt;""),Data!AA356,"")</f>
        <v>25569.041666666668</v>
      </c>
      <c r="K521" s="67">
        <f>IF(AND(E521=Data!R356,Data!AE356&lt;&gt;""),Data!AE356,"")</f>
        <v>25569.041666666668</v>
      </c>
      <c r="L521" s="68">
        <f>IF(E521=Data!R363,Data!AI363,"")</f>
      </c>
      <c r="M521" s="68">
        <f>IF(E521=Data!R363,Data!AJ363,"")</f>
      </c>
      <c r="N521" s="69">
        <f>IF(AND(Data!R363&lt;&gt;"",Data!L363="Accept&amp;#233;"),Data!K363,"")</f>
      </c>
    </row>
    <row x14ac:dyDescent="0.25" r="522" customHeight="1" ht="19.5" hidden="1">
      <c r="A522" s="62">
        <f>IF(AND(Data!R364&lt;&gt;"",Data!L364="Accept&amp;#233;"),Data!G364,"")</f>
      </c>
      <c r="B522" s="62">
        <f>IF(AND(Data!R364&lt;&gt;"",Data!L364="Accept&amp;#233;"),Data!L364,"")</f>
      </c>
      <c r="C522" s="63">
        <f>IF(D522&lt;&gt;"","S"&amp;TEXT(WEEKNUM(D522),"00"),"")</f>
      </c>
      <c r="D522" s="42">
        <f>IF(AND(Data!Q364&lt;&gt;"",Data!L364="Accept&amp;#233;"),Data!Q364,"")</f>
        <v>25569.041666666668</v>
      </c>
      <c r="E522" s="64">
        <f>IF(AND(Data!R364&lt;&gt;"",Data!L364="Accept&amp;#233;"),Data!R364,"")</f>
      </c>
      <c r="F522" s="65">
        <f>IF(AND(Data!R364&lt;&gt;"",Data!L364="Accept&amp;#233;"),Data!S364,"")</f>
      </c>
      <c r="G522" s="66">
        <f>IF(Data!R364='Delivery Plan'!E522,Data!U364,"")</f>
      </c>
      <c r="H522" s="53"/>
      <c r="I522" s="63">
        <f>IF(J522&lt;&gt;"","S"&amp;TEXT(WEEKNUM(J522),"00"),"")</f>
      </c>
      <c r="J522" s="42">
        <f>IF(AND(E522=Data!R357,Data!AA357&lt;&gt;""),Data!AA357,"")</f>
        <v>25569.041666666668</v>
      </c>
      <c r="K522" s="67">
        <f>IF(AND(E522=Data!R357,Data!AE357&lt;&gt;""),Data!AE357,"")</f>
        <v>25569.041666666668</v>
      </c>
      <c r="L522" s="68">
        <f>IF(E522=Data!R364,Data!AI364,"")</f>
      </c>
      <c r="M522" s="68">
        <f>IF(E522=Data!R364,Data!AJ364,"")</f>
      </c>
      <c r="N522" s="69">
        <f>IF(AND(Data!R364&lt;&gt;"",Data!L364="Accept&amp;#233;"),Data!K364,"")</f>
      </c>
    </row>
    <row x14ac:dyDescent="0.25" r="523" customHeight="1" ht="19.5" hidden="1">
      <c r="A523" s="62">
        <f>IF(AND(Data!R365&lt;&gt;"",Data!L365="Accept&amp;#233;"),Data!G365,"")</f>
      </c>
      <c r="B523" s="62">
        <f>IF(AND(Data!R365&lt;&gt;"",Data!L365="Accept&amp;#233;"),Data!L365,"")</f>
      </c>
      <c r="C523" s="63">
        <f>IF(D523&lt;&gt;"","S"&amp;TEXT(WEEKNUM(D523),"00"),"")</f>
      </c>
      <c r="D523" s="42">
        <f>IF(AND(Data!Q365&lt;&gt;"",Data!L365="Accept&amp;#233;"),Data!Q365,"")</f>
        <v>25569.041666666668</v>
      </c>
      <c r="E523" s="64">
        <f>IF(AND(Data!R365&lt;&gt;"",Data!L365="Accept&amp;#233;"),Data!R365,"")</f>
      </c>
      <c r="F523" s="65">
        <f>IF(AND(Data!R365&lt;&gt;"",Data!L365="Accept&amp;#233;"),Data!S365,"")</f>
      </c>
      <c r="G523" s="66">
        <f>IF(Data!R365='Delivery Plan'!E523,Data!U365,"")</f>
      </c>
      <c r="H523" s="53"/>
      <c r="I523" s="63">
        <f>IF(J523&lt;&gt;"","S"&amp;TEXT(WEEKNUM(J523),"00"),"")</f>
      </c>
      <c r="J523" s="42">
        <f>IF(AND(E523=Data!R358,Data!AA358&lt;&gt;""),Data!AA358,"")</f>
        <v>25569.041666666668</v>
      </c>
      <c r="K523" s="67">
        <f>IF(AND(E523=Data!R358,Data!AE358&lt;&gt;""),Data!AE358,"")</f>
        <v>25569.041666666668</v>
      </c>
      <c r="L523" s="68">
        <f>IF(E523=Data!R365,Data!AI365,"")</f>
      </c>
      <c r="M523" s="68">
        <f>IF(E523=Data!R365,Data!AJ365,"")</f>
      </c>
      <c r="N523" s="69">
        <f>IF(AND(Data!R365&lt;&gt;"",Data!L365="Accept&amp;#233;"),Data!K365,"")</f>
      </c>
    </row>
    <row x14ac:dyDescent="0.25" r="524" customHeight="1" ht="19.5" hidden="1">
      <c r="A524" s="62">
        <f>IF(AND(Data!R366&lt;&gt;"",Data!L366="Accept&amp;#233;"),Data!G366,"")</f>
      </c>
      <c r="B524" s="62">
        <f>IF(AND(Data!R366&lt;&gt;"",Data!L366="Accept&amp;#233;"),Data!L366,"")</f>
      </c>
      <c r="C524" s="63">
        <f>IF(D524&lt;&gt;"","S"&amp;TEXT(WEEKNUM(D524),"00"),"")</f>
      </c>
      <c r="D524" s="42">
        <f>IF(AND(Data!Q366&lt;&gt;"",Data!L366="Accept&amp;#233;"),Data!Q366,"")</f>
        <v>25569.041666666668</v>
      </c>
      <c r="E524" s="64">
        <f>IF(AND(Data!R366&lt;&gt;"",Data!L366="Accept&amp;#233;"),Data!R366,"")</f>
      </c>
      <c r="F524" s="65">
        <f>IF(AND(Data!R366&lt;&gt;"",Data!L366="Accept&amp;#233;"),Data!S366,"")</f>
      </c>
      <c r="G524" s="66">
        <f>IF(Data!R366='Delivery Plan'!E524,Data!U366,"")</f>
      </c>
      <c r="H524" s="53"/>
      <c r="I524" s="63">
        <f>IF(J524&lt;&gt;"","S"&amp;TEXT(WEEKNUM(J524),"00"),"")</f>
      </c>
      <c r="J524" s="42">
        <f>IF(AND(E524=Data!R359,Data!AA359&lt;&gt;""),Data!AA359,"")</f>
        <v>25569.041666666668</v>
      </c>
      <c r="K524" s="67">
        <f>IF(AND(E524=Data!R359,Data!AE359&lt;&gt;""),Data!AE359,"")</f>
        <v>25569.041666666668</v>
      </c>
      <c r="L524" s="68">
        <f>IF(E524=Data!R366,Data!AI366,"")</f>
      </c>
      <c r="M524" s="68">
        <f>IF(E524=Data!R366,Data!AJ366,"")</f>
      </c>
      <c r="N524" s="69">
        <f>IF(AND(Data!R366&lt;&gt;"",Data!L366="Accept&amp;#233;"),Data!K366,"")</f>
      </c>
    </row>
    <row x14ac:dyDescent="0.25" r="525" customHeight="1" ht="19.5" hidden="1">
      <c r="A525" s="62">
        <f>IF(AND(Data!R367&lt;&gt;"",Data!L367="Accept&amp;#233;"),Data!G367,"")</f>
      </c>
      <c r="B525" s="62">
        <f>IF(AND(Data!R367&lt;&gt;"",Data!L367="Accept&amp;#233;"),Data!L367,"")</f>
      </c>
      <c r="C525" s="63">
        <f>IF(D525&lt;&gt;"","S"&amp;TEXT(WEEKNUM(D525),"00"),"")</f>
      </c>
      <c r="D525" s="42">
        <f>IF(AND(Data!Q367&lt;&gt;"",Data!L367="Accept&amp;#233;"),Data!Q367,"")</f>
        <v>25569.041666666668</v>
      </c>
      <c r="E525" s="64">
        <f>IF(AND(Data!R367&lt;&gt;"",Data!L367="Accept&amp;#233;"),Data!R367,"")</f>
      </c>
      <c r="F525" s="65">
        <f>IF(AND(Data!R367&lt;&gt;"",Data!L367="Accept&amp;#233;"),Data!S367,"")</f>
      </c>
      <c r="G525" s="66">
        <f>IF(Data!R367='Delivery Plan'!E525,Data!U367,"")</f>
      </c>
      <c r="H525" s="53"/>
      <c r="I525" s="63">
        <f>IF(J525&lt;&gt;"","S"&amp;TEXT(WEEKNUM(J525),"00"),"")</f>
      </c>
      <c r="J525" s="42">
        <f>IF(AND(E525=Data!R360,Data!AA360&lt;&gt;""),Data!AA360,"")</f>
        <v>25569.041666666668</v>
      </c>
      <c r="K525" s="67">
        <f>IF(AND(E525=Data!R360,Data!AE360&lt;&gt;""),Data!AE360,"")</f>
        <v>25569.041666666668</v>
      </c>
      <c r="L525" s="68">
        <f>IF(E525=Data!R367,Data!AI367,"")</f>
      </c>
      <c r="M525" s="68">
        <f>IF(E525=Data!R367,Data!AJ367,"")</f>
      </c>
      <c r="N525" s="69">
        <f>IF(AND(Data!R367&lt;&gt;"",Data!L367="Accept&amp;#233;"),Data!K367,"")</f>
      </c>
    </row>
    <row x14ac:dyDescent="0.25" r="526" customHeight="1" ht="19.5" hidden="1">
      <c r="A526" s="62">
        <f>IF(AND(Data!R368&lt;&gt;"",Data!L368="Accept&amp;#233;"),Data!G368,"")</f>
      </c>
      <c r="B526" s="62">
        <f>IF(AND(Data!R368&lt;&gt;"",Data!L368="Accept&amp;#233;"),Data!L368,"")</f>
      </c>
      <c r="C526" s="63">
        <f>IF(D526&lt;&gt;"","S"&amp;TEXT(WEEKNUM(D526),"00"),"")</f>
      </c>
      <c r="D526" s="42">
        <f>IF(AND(Data!Q368&lt;&gt;"",Data!L368="Accept&amp;#233;"),Data!Q368,"")</f>
        <v>25569.041666666668</v>
      </c>
      <c r="E526" s="64">
        <f>IF(AND(Data!R368&lt;&gt;"",Data!L368="Accept&amp;#233;"),Data!R368,"")</f>
      </c>
      <c r="F526" s="65">
        <f>IF(AND(Data!R368&lt;&gt;"",Data!L368="Accept&amp;#233;"),Data!S368,"")</f>
      </c>
      <c r="G526" s="66">
        <f>IF(Data!R368='Delivery Plan'!E526,Data!U368,"")</f>
      </c>
      <c r="H526" s="53"/>
      <c r="I526" s="63">
        <f>IF(J526&lt;&gt;"","S"&amp;TEXT(WEEKNUM(J526),"00"),"")</f>
      </c>
      <c r="J526" s="42">
        <f>IF(AND(E526=Data!R361,Data!AA361&lt;&gt;""),Data!AA361,"")</f>
        <v>25569.041666666668</v>
      </c>
      <c r="K526" s="67">
        <f>IF(AND(E526=Data!R361,Data!AE361&lt;&gt;""),Data!AE361,"")</f>
        <v>25569.041666666668</v>
      </c>
      <c r="L526" s="68">
        <f>IF(E526=Data!R368,Data!AI368,"")</f>
      </c>
      <c r="M526" s="68">
        <f>IF(E526=Data!R368,Data!AJ368,"")</f>
      </c>
      <c r="N526" s="69">
        <f>IF(AND(Data!R368&lt;&gt;"",Data!L368="Accept&amp;#233;"),Data!K368,"")</f>
      </c>
    </row>
    <row x14ac:dyDescent="0.25" r="527" customHeight="1" ht="19.5" hidden="1">
      <c r="A527" s="62">
        <f>IF(AND(Data!R369&lt;&gt;"",Data!L369="Accept&amp;#233;"),Data!G369,"")</f>
      </c>
      <c r="B527" s="62">
        <f>IF(AND(Data!R369&lt;&gt;"",Data!L369="Accept&amp;#233;"),Data!L369,"")</f>
      </c>
      <c r="C527" s="63">
        <f>IF(D527&lt;&gt;"","S"&amp;TEXT(WEEKNUM(D527),"00"),"")</f>
      </c>
      <c r="D527" s="42">
        <f>IF(AND(Data!Q369&lt;&gt;"",Data!L369="Accept&amp;#233;"),Data!Q369,"")</f>
        <v>25569.041666666668</v>
      </c>
      <c r="E527" s="64">
        <f>IF(AND(Data!R369&lt;&gt;"",Data!L369="Accept&amp;#233;"),Data!R369,"")</f>
      </c>
      <c r="F527" s="65">
        <f>IF(AND(Data!R369&lt;&gt;"",Data!L369="Accept&amp;#233;"),Data!S369,"")</f>
      </c>
      <c r="G527" s="66">
        <f>IF(Data!R369='Delivery Plan'!E527,Data!U369,"")</f>
      </c>
      <c r="H527" s="53"/>
      <c r="I527" s="63">
        <f>IF(J527&lt;&gt;"","S"&amp;TEXT(WEEKNUM(J527),"00"),"")</f>
      </c>
      <c r="J527" s="42">
        <f>IF(AND(E527=Data!R362,Data!AA362&lt;&gt;""),Data!AA362,"")</f>
        <v>25569.041666666668</v>
      </c>
      <c r="K527" s="67">
        <f>IF(AND(E527=Data!R362,Data!AE362&lt;&gt;""),Data!AE362,"")</f>
        <v>25569.041666666668</v>
      </c>
      <c r="L527" s="68">
        <f>IF(E527=Data!R369,Data!AI369,"")</f>
      </c>
      <c r="M527" s="68">
        <f>IF(E527=Data!R369,Data!AJ369,"")</f>
      </c>
      <c r="N527" s="69">
        <f>IF(AND(Data!R369&lt;&gt;"",Data!L369="Accept&amp;#233;"),Data!K369,"")</f>
      </c>
    </row>
    <row x14ac:dyDescent="0.25" r="528" customHeight="1" ht="19.5" hidden="1">
      <c r="A528" s="62">
        <f>IF(AND(Data!R370&lt;&gt;"",Data!L370="Accept&amp;#233;"),Data!G370,"")</f>
      </c>
      <c r="B528" s="62">
        <f>IF(AND(Data!R370&lt;&gt;"",Data!L370="Accept&amp;#233;"),Data!L370,"")</f>
      </c>
      <c r="C528" s="63">
        <f>IF(D528&lt;&gt;"","S"&amp;TEXT(WEEKNUM(D528),"00"),"")</f>
      </c>
      <c r="D528" s="42">
        <f>IF(AND(Data!Q370&lt;&gt;"",Data!L370="Accept&amp;#233;"),Data!Q370,"")</f>
        <v>25569.041666666668</v>
      </c>
      <c r="E528" s="64">
        <f>IF(AND(Data!R370&lt;&gt;"",Data!L370="Accept&amp;#233;"),Data!R370,"")</f>
      </c>
      <c r="F528" s="65">
        <f>IF(AND(Data!R370&lt;&gt;"",Data!L370="Accept&amp;#233;"),Data!S370,"")</f>
      </c>
      <c r="G528" s="66">
        <f>IF(Data!R370='Delivery Plan'!E528,Data!U370,"")</f>
      </c>
      <c r="H528" s="53"/>
      <c r="I528" s="63">
        <f>IF(J528&lt;&gt;"","S"&amp;TEXT(WEEKNUM(J528),"00"),"")</f>
      </c>
      <c r="J528" s="42">
        <f>IF(AND(E528=Data!R363,Data!AA363&lt;&gt;""),Data!AA363,"")</f>
        <v>25569.041666666668</v>
      </c>
      <c r="K528" s="67">
        <f>IF(AND(E528=Data!R363,Data!AE363&lt;&gt;""),Data!AE363,"")</f>
        <v>25569.041666666668</v>
      </c>
      <c r="L528" s="68">
        <f>IF(E528=Data!R370,Data!AI370,"")</f>
      </c>
      <c r="M528" s="68">
        <f>IF(E528=Data!R370,Data!AJ370,"")</f>
      </c>
      <c r="N528" s="69">
        <f>IF(AND(Data!R370&lt;&gt;"",Data!L370="Accept&amp;#233;"),Data!K370,"")</f>
      </c>
    </row>
    <row x14ac:dyDescent="0.25" r="529" customHeight="1" ht="19.5" hidden="1">
      <c r="A529" s="62">
        <f>IF(AND(Data!R371&lt;&gt;"",Data!L371="Accept&amp;#233;"),Data!G371,"")</f>
      </c>
      <c r="B529" s="62">
        <f>IF(AND(Data!R371&lt;&gt;"",Data!L371="Accept&amp;#233;"),Data!L371,"")</f>
      </c>
      <c r="C529" s="63">
        <f>IF(D529&lt;&gt;"","S"&amp;TEXT(WEEKNUM(D529),"00"),"")</f>
      </c>
      <c r="D529" s="42">
        <f>IF(AND(Data!Q371&lt;&gt;"",Data!L371="Accept&amp;#233;"),Data!Q371,"")</f>
        <v>25569.041666666668</v>
      </c>
      <c r="E529" s="64">
        <f>IF(AND(Data!R371&lt;&gt;"",Data!L371="Accept&amp;#233;"),Data!R371,"")</f>
      </c>
      <c r="F529" s="65">
        <f>IF(AND(Data!R371&lt;&gt;"",Data!L371="Accept&amp;#233;"),Data!S371,"")</f>
      </c>
      <c r="G529" s="66">
        <f>IF(Data!R371='Delivery Plan'!E529,Data!U371,"")</f>
      </c>
      <c r="H529" s="53"/>
      <c r="I529" s="63">
        <f>IF(J529&lt;&gt;"","S"&amp;TEXT(WEEKNUM(J529),"00"),"")</f>
      </c>
      <c r="J529" s="42">
        <f>IF(AND(E529=Data!R364,Data!AA364&lt;&gt;""),Data!AA364,"")</f>
        <v>25569.041666666668</v>
      </c>
      <c r="K529" s="67">
        <f>IF(AND(E529=Data!R364,Data!AE364&lt;&gt;""),Data!AE364,"")</f>
        <v>25569.041666666668</v>
      </c>
      <c r="L529" s="68">
        <f>IF(E529=Data!R371,Data!AI371,"")</f>
      </c>
      <c r="M529" s="68">
        <f>IF(E529=Data!R371,Data!AJ371,"")</f>
      </c>
      <c r="N529" s="69">
        <f>IF(AND(Data!R371&lt;&gt;"",Data!L371="Accept&amp;#233;"),Data!K371,"")</f>
      </c>
    </row>
    <row x14ac:dyDescent="0.25" r="530" customHeight="1" ht="19.5" hidden="1">
      <c r="A530" s="62">
        <f>IF(AND(Data!R372&lt;&gt;"",Data!L372="Accept&amp;#233;"),Data!G372,"")</f>
      </c>
      <c r="B530" s="62">
        <f>IF(AND(Data!R372&lt;&gt;"",Data!L372="Accept&amp;#233;"),Data!L372,"")</f>
      </c>
      <c r="C530" s="63">
        <f>IF(D530&lt;&gt;"","S"&amp;TEXT(WEEKNUM(D530),"00"),"")</f>
      </c>
      <c r="D530" s="42">
        <f>IF(AND(Data!Q372&lt;&gt;"",Data!L372="Accept&amp;#233;"),Data!Q372,"")</f>
        <v>25569.041666666668</v>
      </c>
      <c r="E530" s="64">
        <f>IF(AND(Data!R372&lt;&gt;"",Data!L372="Accept&amp;#233;"),Data!R372,"")</f>
      </c>
      <c r="F530" s="65">
        <f>IF(AND(Data!R372&lt;&gt;"",Data!L372="Accept&amp;#233;"),Data!S372,"")</f>
      </c>
      <c r="G530" s="66">
        <f>IF(Data!R372='Delivery Plan'!E530,Data!U372,"")</f>
      </c>
      <c r="H530" s="53"/>
      <c r="I530" s="63">
        <f>IF(J530&lt;&gt;"","S"&amp;TEXT(WEEKNUM(J530),"00"),"")</f>
      </c>
      <c r="J530" s="42">
        <f>IF(AND(E530=Data!R365,Data!AA365&lt;&gt;""),Data!AA365,"")</f>
        <v>25569.041666666668</v>
      </c>
      <c r="K530" s="67">
        <f>IF(AND(E530=Data!R365,Data!AE365&lt;&gt;""),Data!AE365,"")</f>
        <v>25569.041666666668</v>
      </c>
      <c r="L530" s="68">
        <f>IF(E530=Data!R372,Data!AI372,"")</f>
      </c>
      <c r="M530" s="68">
        <f>IF(E530=Data!R372,Data!AJ372,"")</f>
      </c>
      <c r="N530" s="69">
        <f>IF(AND(Data!R372&lt;&gt;"",Data!L372="Accept&amp;#233;"),Data!K372,"")</f>
      </c>
    </row>
    <row x14ac:dyDescent="0.25" r="531" customHeight="1" ht="19.5" hidden="1">
      <c r="A531" s="62">
        <f>IF(AND(Data!R373&lt;&gt;"",Data!L373="Accept&amp;#233;"),Data!G373,"")</f>
      </c>
      <c r="B531" s="62">
        <f>IF(AND(Data!R373&lt;&gt;"",Data!L373="Accept&amp;#233;"),Data!L373,"")</f>
      </c>
      <c r="C531" s="63">
        <f>IF(D531&lt;&gt;"","S"&amp;TEXT(WEEKNUM(D531),"00"),"")</f>
      </c>
      <c r="D531" s="42">
        <f>IF(AND(Data!Q373&lt;&gt;"",Data!L373="Accept&amp;#233;"),Data!Q373,"")</f>
        <v>25569.041666666668</v>
      </c>
      <c r="E531" s="64">
        <f>IF(AND(Data!R373&lt;&gt;"",Data!L373="Accept&amp;#233;"),Data!R373,"")</f>
      </c>
      <c r="F531" s="65">
        <f>IF(AND(Data!R373&lt;&gt;"",Data!L373="Accept&amp;#233;"),Data!S373,"")</f>
      </c>
      <c r="G531" s="66">
        <f>IF(Data!R373='Delivery Plan'!E531,Data!U373,"")</f>
      </c>
      <c r="H531" s="53"/>
      <c r="I531" s="63">
        <f>IF(J531&lt;&gt;"","S"&amp;TEXT(WEEKNUM(J531),"00"),"")</f>
      </c>
      <c r="J531" s="42">
        <f>IF(AND(E531=Data!R366,Data!AA366&lt;&gt;""),Data!AA366,"")</f>
        <v>25569.041666666668</v>
      </c>
      <c r="K531" s="67">
        <f>IF(AND(E531=Data!R366,Data!AE366&lt;&gt;""),Data!AE366,"")</f>
        <v>25569.041666666668</v>
      </c>
      <c r="L531" s="68">
        <f>IF(E531=Data!R373,Data!AI373,"")</f>
      </c>
      <c r="M531" s="68">
        <f>IF(E531=Data!R373,Data!AJ373,"")</f>
      </c>
      <c r="N531" s="69">
        <f>IF(AND(Data!R373&lt;&gt;"",Data!L373="Accept&amp;#233;"),Data!K373,"")</f>
      </c>
    </row>
    <row x14ac:dyDescent="0.25" r="532" customHeight="1" ht="19.5" hidden="1">
      <c r="A532" s="62">
        <f>IF(AND(Data!R374&lt;&gt;"",Data!L374="Accept&amp;#233;"),Data!G374,"")</f>
      </c>
      <c r="B532" s="62">
        <f>IF(AND(Data!R374&lt;&gt;"",Data!L374="Accept&amp;#233;"),Data!L374,"")</f>
      </c>
      <c r="C532" s="63">
        <f>IF(D532&lt;&gt;"","S"&amp;TEXT(WEEKNUM(D532),"00"),"")</f>
      </c>
      <c r="D532" s="42">
        <f>IF(AND(Data!Q374&lt;&gt;"",Data!L374="Accept&amp;#233;"),Data!Q374,"")</f>
        <v>25569.041666666668</v>
      </c>
      <c r="E532" s="64">
        <f>IF(AND(Data!R374&lt;&gt;"",Data!L374="Accept&amp;#233;"),Data!R374,"")</f>
      </c>
      <c r="F532" s="65">
        <f>IF(AND(Data!R374&lt;&gt;"",Data!L374="Accept&amp;#233;"),Data!S374,"")</f>
      </c>
      <c r="G532" s="66">
        <f>IF(Data!R374='Delivery Plan'!E532,Data!U374,"")</f>
      </c>
      <c r="H532" s="53"/>
      <c r="I532" s="63">
        <f>IF(J532&lt;&gt;"","S"&amp;TEXT(WEEKNUM(J532),"00"),"")</f>
      </c>
      <c r="J532" s="42">
        <f>IF(AND(E532=Data!R367,Data!AA367&lt;&gt;""),Data!AA367,"")</f>
        <v>25569.041666666668</v>
      </c>
      <c r="K532" s="67">
        <f>IF(AND(E532=Data!R367,Data!AE367&lt;&gt;""),Data!AE367,"")</f>
        <v>25569.041666666668</v>
      </c>
      <c r="L532" s="68">
        <f>IF(E532=Data!R374,Data!AI374,"")</f>
      </c>
      <c r="M532" s="68">
        <f>IF(E532=Data!R374,Data!AJ374,"")</f>
      </c>
      <c r="N532" s="69">
        <f>IF(AND(Data!R374&lt;&gt;"",Data!L374="Accept&amp;#233;"),Data!K374,"")</f>
      </c>
    </row>
    <row x14ac:dyDescent="0.25" r="533" customHeight="1" ht="19.5" hidden="1">
      <c r="A533" s="62">
        <f>IF(AND(Data!R375&lt;&gt;"",Data!L375="Accept&amp;#233;"),Data!G375,"")</f>
      </c>
      <c r="B533" s="62">
        <f>IF(AND(Data!R375&lt;&gt;"",Data!L375="Accept&amp;#233;"),Data!L375,"")</f>
      </c>
      <c r="C533" s="63">
        <f>IF(D533&lt;&gt;"","S"&amp;TEXT(WEEKNUM(D533),"00"),"")</f>
      </c>
      <c r="D533" s="42">
        <f>IF(AND(Data!Q375&lt;&gt;"",Data!L375="Accept&amp;#233;"),Data!Q375,"")</f>
        <v>25569.041666666668</v>
      </c>
      <c r="E533" s="64">
        <f>IF(AND(Data!R375&lt;&gt;"",Data!L375="Accept&amp;#233;"),Data!R375,"")</f>
      </c>
      <c r="F533" s="65">
        <f>IF(AND(Data!R375&lt;&gt;"",Data!L375="Accept&amp;#233;"),Data!S375,"")</f>
      </c>
      <c r="G533" s="66">
        <f>IF(Data!R375='Delivery Plan'!E533,Data!U375,"")</f>
      </c>
      <c r="H533" s="53"/>
      <c r="I533" s="63">
        <f>IF(J533&lt;&gt;"","S"&amp;TEXT(WEEKNUM(J533),"00"),"")</f>
      </c>
      <c r="J533" s="42">
        <f>IF(AND(E533=Data!R368,Data!AA368&lt;&gt;""),Data!AA368,"")</f>
        <v>25569.041666666668</v>
      </c>
      <c r="K533" s="67">
        <f>IF(AND(E533=Data!R368,Data!AE368&lt;&gt;""),Data!AE368,"")</f>
        <v>25569.041666666668</v>
      </c>
      <c r="L533" s="68">
        <f>IF(E533=Data!R375,Data!AI375,"")</f>
      </c>
      <c r="M533" s="68">
        <f>IF(E533=Data!R375,Data!AJ375,"")</f>
      </c>
      <c r="N533" s="69">
        <f>IF(AND(Data!R375&lt;&gt;"",Data!L375="Accept&amp;#233;"),Data!K375,"")</f>
      </c>
    </row>
    <row x14ac:dyDescent="0.25" r="534" customHeight="1" ht="19.5" hidden="1">
      <c r="A534" s="62">
        <f>IF(AND(Data!R376&lt;&gt;"",Data!L376="Accept&amp;#233;"),Data!G376,"")</f>
      </c>
      <c r="B534" s="62">
        <f>IF(AND(Data!R376&lt;&gt;"",Data!L376="Accept&amp;#233;"),Data!L376,"")</f>
      </c>
      <c r="C534" s="63">
        <f>IF(D534&lt;&gt;"","S"&amp;TEXT(WEEKNUM(D534),"00"),"")</f>
      </c>
      <c r="D534" s="42">
        <f>IF(AND(Data!Q376&lt;&gt;"",Data!L376="Accept&amp;#233;"),Data!Q376,"")</f>
        <v>25569.041666666668</v>
      </c>
      <c r="E534" s="64">
        <f>IF(AND(Data!R376&lt;&gt;"",Data!L376="Accept&amp;#233;"),Data!R376,"")</f>
      </c>
      <c r="F534" s="65">
        <f>IF(AND(Data!R376&lt;&gt;"",Data!L376="Accept&amp;#233;"),Data!S376,"")</f>
      </c>
      <c r="G534" s="66">
        <f>IF(Data!R376='Delivery Plan'!E534,Data!U376,"")</f>
      </c>
      <c r="H534" s="53"/>
      <c r="I534" s="63">
        <f>IF(J534&lt;&gt;"","S"&amp;TEXT(WEEKNUM(J534),"00"),"")</f>
      </c>
      <c r="J534" s="42">
        <f>IF(AND(E534=Data!R369,Data!AA369&lt;&gt;""),Data!AA369,"")</f>
        <v>25569.041666666668</v>
      </c>
      <c r="K534" s="67">
        <f>IF(AND(E534=Data!R369,Data!AE369&lt;&gt;""),Data!AE369,"")</f>
        <v>25569.041666666668</v>
      </c>
      <c r="L534" s="68">
        <f>IF(E534=Data!R376,Data!AI376,"")</f>
      </c>
      <c r="M534" s="68">
        <f>IF(E534=Data!R376,Data!AJ376,"")</f>
      </c>
      <c r="N534" s="69">
        <f>IF(AND(Data!R376&lt;&gt;"",Data!L376="Accept&amp;#233;"),Data!K376,"")</f>
      </c>
    </row>
    <row x14ac:dyDescent="0.25" r="535" customHeight="1" ht="19.5" hidden="1">
      <c r="A535" s="62">
        <f>IF(AND(Data!R377&lt;&gt;"",Data!L377="Accept&amp;#233;"),Data!G377,"")</f>
      </c>
      <c r="B535" s="62">
        <f>IF(AND(Data!R377&lt;&gt;"",Data!L377="Accept&amp;#233;"),Data!L377,"")</f>
      </c>
      <c r="C535" s="63">
        <f>IF(D535&lt;&gt;"","S"&amp;TEXT(WEEKNUM(D535),"00"),"")</f>
      </c>
      <c r="D535" s="42">
        <f>IF(AND(Data!Q377&lt;&gt;"",Data!L377="Accept&amp;#233;"),Data!Q377,"")</f>
        <v>25569.041666666668</v>
      </c>
      <c r="E535" s="64">
        <f>IF(AND(Data!R377&lt;&gt;"",Data!L377="Accept&amp;#233;"),Data!R377,"")</f>
      </c>
      <c r="F535" s="65">
        <f>IF(AND(Data!R377&lt;&gt;"",Data!L377="Accept&amp;#233;"),Data!S377,"")</f>
      </c>
      <c r="G535" s="66">
        <f>IF(Data!R377='Delivery Plan'!E535,Data!U377,"")</f>
      </c>
      <c r="H535" s="53"/>
      <c r="I535" s="63">
        <f>IF(J535&lt;&gt;"","S"&amp;TEXT(WEEKNUM(J535),"00"),"")</f>
      </c>
      <c r="J535" s="42">
        <f>IF(AND(E535=Data!R370,Data!AA370&lt;&gt;""),Data!AA370,"")</f>
        <v>25569.041666666668</v>
      </c>
      <c r="K535" s="67">
        <f>IF(AND(E535=Data!R370,Data!AE370&lt;&gt;""),Data!AE370,"")</f>
        <v>25569.041666666668</v>
      </c>
      <c r="L535" s="68">
        <f>IF(E535=Data!R377,Data!AI377,"")</f>
      </c>
      <c r="M535" s="68">
        <f>IF(E535=Data!R377,Data!AJ377,"")</f>
      </c>
      <c r="N535" s="69">
        <f>IF(AND(Data!R377&lt;&gt;"",Data!L377="Accept&amp;#233;"),Data!K377,"")</f>
      </c>
    </row>
    <row x14ac:dyDescent="0.25" r="536" customHeight="1" ht="19.5" hidden="1">
      <c r="A536" s="62">
        <f>IF(AND(Data!R378&lt;&gt;"",Data!L378="Accept&amp;#233;"),Data!G378,"")</f>
      </c>
      <c r="B536" s="62">
        <f>IF(AND(Data!R378&lt;&gt;"",Data!L378="Accept&amp;#233;"),Data!L378,"")</f>
      </c>
      <c r="C536" s="63">
        <f>IF(D536&lt;&gt;"","S"&amp;TEXT(WEEKNUM(D536),"00"),"")</f>
      </c>
      <c r="D536" s="42">
        <f>IF(AND(Data!Q378&lt;&gt;"",Data!L378="Accept&amp;#233;"),Data!Q378,"")</f>
        <v>25569.041666666668</v>
      </c>
      <c r="E536" s="64">
        <f>IF(AND(Data!R378&lt;&gt;"",Data!L378="Accept&amp;#233;"),Data!R378,"")</f>
      </c>
      <c r="F536" s="65">
        <f>IF(AND(Data!R378&lt;&gt;"",Data!L378="Accept&amp;#233;"),Data!S378,"")</f>
      </c>
      <c r="G536" s="66">
        <f>IF(Data!R378='Delivery Plan'!E536,Data!U378,"")</f>
      </c>
      <c r="H536" s="53"/>
      <c r="I536" s="63">
        <f>IF(J536&lt;&gt;"","S"&amp;TEXT(WEEKNUM(J536),"00"),"")</f>
      </c>
      <c r="J536" s="42">
        <f>IF(AND(E536=Data!R371,Data!AA371&lt;&gt;""),Data!AA371,"")</f>
        <v>25569.041666666668</v>
      </c>
      <c r="K536" s="67">
        <f>IF(AND(E536=Data!R371,Data!AE371&lt;&gt;""),Data!AE371,"")</f>
        <v>25569.041666666668</v>
      </c>
      <c r="L536" s="68">
        <f>IF(E536=Data!R378,Data!AI378,"")</f>
      </c>
      <c r="M536" s="68">
        <f>IF(E536=Data!R378,Data!AJ378,"")</f>
      </c>
      <c r="N536" s="69">
        <f>IF(AND(Data!R378&lt;&gt;"",Data!L378="Accept&amp;#233;"),Data!K378,"")</f>
      </c>
    </row>
    <row x14ac:dyDescent="0.25" r="537" customHeight="1" ht="19.5" hidden="1">
      <c r="A537" s="62">
        <f>IF(AND(Data!R379&lt;&gt;"",Data!L379="Accept&amp;#233;"),Data!G379,"")</f>
      </c>
      <c r="B537" s="62">
        <f>IF(AND(Data!R379&lt;&gt;"",Data!L379="Accept&amp;#233;"),Data!L379,"")</f>
      </c>
      <c r="C537" s="63">
        <f>IF(D537&lt;&gt;"","S"&amp;TEXT(WEEKNUM(D537),"00"),"")</f>
      </c>
      <c r="D537" s="42">
        <f>IF(AND(Data!Q379&lt;&gt;"",Data!L379="Accept&amp;#233;"),Data!Q379,"")</f>
        <v>25569.041666666668</v>
      </c>
      <c r="E537" s="64">
        <f>IF(AND(Data!R379&lt;&gt;"",Data!L379="Accept&amp;#233;"),Data!R379,"")</f>
      </c>
      <c r="F537" s="65">
        <f>IF(AND(Data!R379&lt;&gt;"",Data!L379="Accept&amp;#233;"),Data!S379,"")</f>
      </c>
      <c r="G537" s="66">
        <f>IF(Data!R379='Delivery Plan'!E537,Data!U379,"")</f>
      </c>
      <c r="H537" s="53"/>
      <c r="I537" s="63">
        <f>IF(J537&lt;&gt;"","S"&amp;TEXT(WEEKNUM(J537),"00"),"")</f>
      </c>
      <c r="J537" s="42">
        <f>IF(AND(E537=Data!R372,Data!AA372&lt;&gt;""),Data!AA372,"")</f>
        <v>25569.041666666668</v>
      </c>
      <c r="K537" s="67">
        <f>IF(AND(E537=Data!R372,Data!AE372&lt;&gt;""),Data!AE372,"")</f>
        <v>25569.041666666668</v>
      </c>
      <c r="L537" s="68">
        <f>IF(E537=Data!R379,Data!AI379,"")</f>
      </c>
      <c r="M537" s="68">
        <f>IF(E537=Data!R379,Data!AJ379,"")</f>
      </c>
      <c r="N537" s="69">
        <f>IF(AND(Data!R379&lt;&gt;"",Data!L379="Accept&amp;#233;"),Data!K379,"")</f>
      </c>
    </row>
    <row x14ac:dyDescent="0.25" r="538" customHeight="1" ht="19.5" hidden="1">
      <c r="A538" s="62">
        <f>IF(AND(Data!R380&lt;&gt;"",Data!L380="Accept&amp;#233;"),Data!G380,"")</f>
      </c>
      <c r="B538" s="62">
        <f>IF(AND(Data!R380&lt;&gt;"",Data!L380="Accept&amp;#233;"),Data!L380,"")</f>
      </c>
      <c r="C538" s="63">
        <f>IF(D538&lt;&gt;"","S"&amp;TEXT(WEEKNUM(D538),"00"),"")</f>
      </c>
      <c r="D538" s="42">
        <f>IF(AND(Data!Q380&lt;&gt;"",Data!L380="Accept&amp;#233;"),Data!Q380,"")</f>
        <v>25569.041666666668</v>
      </c>
      <c r="E538" s="64">
        <f>IF(AND(Data!R380&lt;&gt;"",Data!L380="Accept&amp;#233;"),Data!R380,"")</f>
      </c>
      <c r="F538" s="65">
        <f>IF(AND(Data!R380&lt;&gt;"",Data!L380="Accept&amp;#233;"),Data!S380,"")</f>
      </c>
      <c r="G538" s="66">
        <f>IF(Data!R380='Delivery Plan'!E538,Data!U380,"")</f>
      </c>
      <c r="H538" s="53"/>
      <c r="I538" s="63">
        <f>IF(J538&lt;&gt;"","S"&amp;TEXT(WEEKNUM(J538),"00"),"")</f>
      </c>
      <c r="J538" s="42">
        <f>IF(AND(E538=Data!R373,Data!AA373&lt;&gt;""),Data!AA373,"")</f>
        <v>25569.041666666668</v>
      </c>
      <c r="K538" s="67">
        <f>IF(AND(E538=Data!R373,Data!AE373&lt;&gt;""),Data!AE373,"")</f>
        <v>25569.041666666668</v>
      </c>
      <c r="L538" s="68">
        <f>IF(E538=Data!R380,Data!AI380,"")</f>
      </c>
      <c r="M538" s="68">
        <f>IF(E538=Data!R380,Data!AJ380,"")</f>
      </c>
      <c r="N538" s="69">
        <f>IF(AND(Data!R380&lt;&gt;"",Data!L380="Accept&amp;#233;"),Data!K380,"")</f>
      </c>
    </row>
    <row x14ac:dyDescent="0.25" r="539" customHeight="1" ht="19.5" hidden="1">
      <c r="A539" s="62">
        <f>IF(AND(Data!R381&lt;&gt;"",Data!L381="Accept&amp;#233;"),Data!G381,"")</f>
      </c>
      <c r="B539" s="62">
        <f>IF(AND(Data!R381&lt;&gt;"",Data!L381="Accept&amp;#233;"),Data!L381,"")</f>
      </c>
      <c r="C539" s="63">
        <f>IF(D539&lt;&gt;"","S"&amp;TEXT(WEEKNUM(D539),"00"),"")</f>
      </c>
      <c r="D539" s="42">
        <f>IF(AND(Data!Q381&lt;&gt;"",Data!L381="Accept&amp;#233;"),Data!Q381,"")</f>
        <v>25569.041666666668</v>
      </c>
      <c r="E539" s="64">
        <f>IF(AND(Data!R381&lt;&gt;"",Data!L381="Accept&amp;#233;"),Data!R381,"")</f>
      </c>
      <c r="F539" s="65">
        <f>IF(AND(Data!R381&lt;&gt;"",Data!L381="Accept&amp;#233;"),Data!S381,"")</f>
      </c>
      <c r="G539" s="66">
        <f>IF(Data!R381='Delivery Plan'!E539,Data!U381,"")</f>
      </c>
      <c r="H539" s="53"/>
      <c r="I539" s="63">
        <f>IF(J539&lt;&gt;"","S"&amp;TEXT(WEEKNUM(J539),"00"),"")</f>
      </c>
      <c r="J539" s="42">
        <f>IF(AND(E539=Data!R374,Data!AA374&lt;&gt;""),Data!AA374,"")</f>
        <v>25569.041666666668</v>
      </c>
      <c r="K539" s="67">
        <f>IF(AND(E539=Data!R374,Data!AE374&lt;&gt;""),Data!AE374,"")</f>
        <v>25569.041666666668</v>
      </c>
      <c r="L539" s="68">
        <f>IF(E539=Data!R381,Data!AI381,"")</f>
      </c>
      <c r="M539" s="68">
        <f>IF(E539=Data!R381,Data!AJ381,"")</f>
      </c>
      <c r="N539" s="69">
        <f>IF(AND(Data!R381&lt;&gt;"",Data!L381="Accept&amp;#233;"),Data!K381,"")</f>
      </c>
    </row>
    <row x14ac:dyDescent="0.25" r="540" customHeight="1" ht="19.5" hidden="1">
      <c r="A540" s="62">
        <f>IF(AND(Data!R382&lt;&gt;"",Data!L382="Accept&amp;#233;"),Data!G382,"")</f>
      </c>
      <c r="B540" s="62">
        <f>IF(AND(Data!R382&lt;&gt;"",Data!L382="Accept&amp;#233;"),Data!L382,"")</f>
      </c>
      <c r="C540" s="63">
        <f>IF(D540&lt;&gt;"","S"&amp;TEXT(WEEKNUM(D540),"00"),"")</f>
      </c>
      <c r="D540" s="42">
        <f>IF(AND(Data!Q382&lt;&gt;"",Data!L382="Accept&amp;#233;"),Data!Q382,"")</f>
        <v>25569.041666666668</v>
      </c>
      <c r="E540" s="64">
        <f>IF(AND(Data!R382&lt;&gt;"",Data!L382="Accept&amp;#233;"),Data!R382,"")</f>
      </c>
      <c r="F540" s="65">
        <f>IF(AND(Data!R382&lt;&gt;"",Data!L382="Accept&amp;#233;"),Data!S382,"")</f>
      </c>
      <c r="G540" s="66">
        <f>IF(Data!R382='Delivery Plan'!E540,Data!U382,"")</f>
      </c>
      <c r="H540" s="53"/>
      <c r="I540" s="63">
        <f>IF(J540&lt;&gt;"","S"&amp;TEXT(WEEKNUM(J540),"00"),"")</f>
      </c>
      <c r="J540" s="42">
        <f>IF(AND(E540=Data!R375,Data!AA375&lt;&gt;""),Data!AA375,"")</f>
        <v>25569.041666666668</v>
      </c>
      <c r="K540" s="67">
        <f>IF(AND(E540=Data!R375,Data!AE375&lt;&gt;""),Data!AE375,"")</f>
        <v>25569.041666666668</v>
      </c>
      <c r="L540" s="68">
        <f>IF(E540=Data!R382,Data!AI382,"")</f>
      </c>
      <c r="M540" s="68">
        <f>IF(E540=Data!R382,Data!AJ382,"")</f>
      </c>
      <c r="N540" s="69">
        <f>IF(AND(Data!R382&lt;&gt;"",Data!L382="Accept&amp;#233;"),Data!K382,"")</f>
      </c>
    </row>
    <row x14ac:dyDescent="0.25" r="541" customHeight="1" ht="19.5" hidden="1">
      <c r="A541" s="62">
        <f>IF(AND(Data!R383&lt;&gt;"",Data!L383="Accept&amp;#233;"),Data!G383,"")</f>
      </c>
      <c r="B541" s="62">
        <f>IF(AND(Data!R383&lt;&gt;"",Data!L383="Accept&amp;#233;"),Data!L383,"")</f>
      </c>
      <c r="C541" s="63">
        <f>IF(D541&lt;&gt;"","S"&amp;TEXT(WEEKNUM(D541),"00"),"")</f>
      </c>
      <c r="D541" s="42">
        <f>IF(AND(Data!Q383&lt;&gt;"",Data!L383="Accept&amp;#233;"),Data!Q383,"")</f>
        <v>25569.041666666668</v>
      </c>
      <c r="E541" s="64">
        <f>IF(AND(Data!R383&lt;&gt;"",Data!L383="Accept&amp;#233;"),Data!R383,"")</f>
      </c>
      <c r="F541" s="65">
        <f>IF(AND(Data!R383&lt;&gt;"",Data!L383="Accept&amp;#233;"),Data!S383,"")</f>
      </c>
      <c r="G541" s="66">
        <f>IF(Data!R383='Delivery Plan'!E541,Data!U383,"")</f>
      </c>
      <c r="H541" s="53"/>
      <c r="I541" s="63">
        <f>IF(J541&lt;&gt;"","S"&amp;TEXT(WEEKNUM(J541),"00"),"")</f>
      </c>
      <c r="J541" s="42">
        <f>IF(AND(E541=Data!R376,Data!AA376&lt;&gt;""),Data!AA376,"")</f>
        <v>25569.041666666668</v>
      </c>
      <c r="K541" s="67">
        <f>IF(AND(E541=Data!R376,Data!AE376&lt;&gt;""),Data!AE376,"")</f>
        <v>25569.041666666668</v>
      </c>
      <c r="L541" s="68">
        <f>IF(E541=Data!R383,Data!AI383,"")</f>
      </c>
      <c r="M541" s="68">
        <f>IF(E541=Data!R383,Data!AJ383,"")</f>
      </c>
      <c r="N541" s="69">
        <f>IF(AND(Data!R383&lt;&gt;"",Data!L383="Accept&amp;#233;"),Data!K383,"")</f>
      </c>
    </row>
    <row x14ac:dyDescent="0.25" r="542" customHeight="1" ht="19.5" hidden="1">
      <c r="A542" s="62">
        <f>IF(AND(Data!R384&lt;&gt;"",Data!L384="Accept&amp;#233;"),Data!G384,"")</f>
      </c>
      <c r="B542" s="62">
        <f>IF(AND(Data!R384&lt;&gt;"",Data!L384="Accept&amp;#233;"),Data!L384,"")</f>
      </c>
      <c r="C542" s="63">
        <f>IF(D542&lt;&gt;"","S"&amp;TEXT(WEEKNUM(D542),"00"),"")</f>
      </c>
      <c r="D542" s="42">
        <f>IF(AND(Data!Q384&lt;&gt;"",Data!L384="Accept&amp;#233;"),Data!Q384,"")</f>
        <v>25569.041666666668</v>
      </c>
      <c r="E542" s="64">
        <f>IF(AND(Data!R384&lt;&gt;"",Data!L384="Accept&amp;#233;"),Data!R384,"")</f>
      </c>
      <c r="F542" s="65">
        <f>IF(AND(Data!R384&lt;&gt;"",Data!L384="Accept&amp;#233;"),Data!S384,"")</f>
      </c>
      <c r="G542" s="66">
        <f>IF(Data!R384='Delivery Plan'!E542,Data!U384,"")</f>
      </c>
      <c r="H542" s="53"/>
      <c r="I542" s="63">
        <f>IF(J542&lt;&gt;"","S"&amp;TEXT(WEEKNUM(J542),"00"),"")</f>
      </c>
      <c r="J542" s="42">
        <f>IF(AND(E542=Data!R377,Data!AA377&lt;&gt;""),Data!AA377,"")</f>
        <v>25569.041666666668</v>
      </c>
      <c r="K542" s="67">
        <f>IF(AND(E542=Data!R377,Data!AE377&lt;&gt;""),Data!AE377,"")</f>
        <v>25569.041666666668</v>
      </c>
      <c r="L542" s="68">
        <f>IF(E542=Data!R384,Data!AI384,"")</f>
      </c>
      <c r="M542" s="68">
        <f>IF(E542=Data!R384,Data!AJ384,"")</f>
      </c>
      <c r="N542" s="69">
        <f>IF(AND(Data!R384&lt;&gt;"",Data!L384="Accept&amp;#233;"),Data!K384,"")</f>
      </c>
    </row>
    <row x14ac:dyDescent="0.25" r="543" customHeight="1" ht="19.5" hidden="1">
      <c r="A543" s="62">
        <f>IF(AND(Data!R385&lt;&gt;"",Data!L385="Accept&amp;#233;"),Data!G385,"")</f>
      </c>
      <c r="B543" s="62">
        <f>IF(AND(Data!R385&lt;&gt;"",Data!L385="Accept&amp;#233;"),Data!L385,"")</f>
      </c>
      <c r="C543" s="63">
        <f>IF(D543&lt;&gt;"","S"&amp;TEXT(WEEKNUM(D543),"00"),"")</f>
      </c>
      <c r="D543" s="42">
        <f>IF(AND(Data!Q385&lt;&gt;"",Data!L385="Accept&amp;#233;"),Data!Q385,"")</f>
        <v>25569.041666666668</v>
      </c>
      <c r="E543" s="64">
        <f>IF(AND(Data!R385&lt;&gt;"",Data!L385="Accept&amp;#233;"),Data!R385,"")</f>
      </c>
      <c r="F543" s="65">
        <f>IF(AND(Data!R385&lt;&gt;"",Data!L385="Accept&amp;#233;"),Data!S385,"")</f>
      </c>
      <c r="G543" s="66">
        <f>IF(Data!R385='Delivery Plan'!E543,Data!U385,"")</f>
      </c>
      <c r="H543" s="53"/>
      <c r="I543" s="63">
        <f>IF(J543&lt;&gt;"","S"&amp;TEXT(WEEKNUM(J543),"00"),"")</f>
      </c>
      <c r="J543" s="42">
        <f>IF(AND(E543=Data!R378,Data!AA378&lt;&gt;""),Data!AA378,"")</f>
        <v>25569.041666666668</v>
      </c>
      <c r="K543" s="67">
        <f>IF(AND(E543=Data!R378,Data!AE378&lt;&gt;""),Data!AE378,"")</f>
        <v>25569.041666666668</v>
      </c>
      <c r="L543" s="68">
        <f>IF(E543=Data!R385,Data!AI385,"")</f>
      </c>
      <c r="M543" s="68">
        <f>IF(E543=Data!R385,Data!AJ385,"")</f>
      </c>
      <c r="N543" s="69">
        <f>IF(AND(Data!R385&lt;&gt;"",Data!L385="Accept&amp;#233;"),Data!K385,"")</f>
      </c>
    </row>
    <row x14ac:dyDescent="0.25" r="544" customHeight="1" ht="19.5" hidden="1">
      <c r="A544" s="62">
        <f>IF(AND(Data!R386&lt;&gt;"",Data!L386="Accept&amp;#233;"),Data!G386,"")</f>
      </c>
      <c r="B544" s="62">
        <f>IF(AND(Data!R386&lt;&gt;"",Data!L386="Accept&amp;#233;"),Data!L386,"")</f>
      </c>
      <c r="C544" s="63">
        <f>IF(D544&lt;&gt;"","S"&amp;TEXT(WEEKNUM(D544),"00"),"")</f>
      </c>
      <c r="D544" s="42">
        <f>IF(AND(Data!Q386&lt;&gt;"",Data!L386="Accept&amp;#233;"),Data!Q386,"")</f>
        <v>25569.041666666668</v>
      </c>
      <c r="E544" s="64">
        <f>IF(AND(Data!R386&lt;&gt;"",Data!L386="Accept&amp;#233;"),Data!R386,"")</f>
      </c>
      <c r="F544" s="65">
        <f>IF(AND(Data!R386&lt;&gt;"",Data!L386="Accept&amp;#233;"),Data!S386,"")</f>
      </c>
      <c r="G544" s="66">
        <f>IF(Data!R386='Delivery Plan'!E544,Data!U386,"")</f>
      </c>
      <c r="H544" s="53"/>
      <c r="I544" s="63">
        <f>IF(J544&lt;&gt;"","S"&amp;TEXT(WEEKNUM(J544),"00"),"")</f>
      </c>
      <c r="J544" s="42">
        <f>IF(AND(E544=Data!R379,Data!AA379&lt;&gt;""),Data!AA379,"")</f>
        <v>25569.041666666668</v>
      </c>
      <c r="K544" s="67">
        <f>IF(AND(E544=Data!R379,Data!AE379&lt;&gt;""),Data!AE379,"")</f>
        <v>25569.041666666668</v>
      </c>
      <c r="L544" s="68">
        <f>IF(E544=Data!R386,Data!AI386,"")</f>
      </c>
      <c r="M544" s="68">
        <f>IF(E544=Data!R386,Data!AJ386,"")</f>
      </c>
      <c r="N544" s="69">
        <f>IF(AND(Data!R386&lt;&gt;"",Data!L386="Accept&amp;#233;"),Data!K386,"")</f>
      </c>
    </row>
    <row x14ac:dyDescent="0.25" r="545" customHeight="1" ht="19.5" hidden="1">
      <c r="A545" s="62">
        <f>IF(AND(Data!R387&lt;&gt;"",Data!L387="Accept&amp;#233;"),Data!G387,"")</f>
      </c>
      <c r="B545" s="62">
        <f>IF(AND(Data!R387&lt;&gt;"",Data!L387="Accept&amp;#233;"),Data!L387,"")</f>
      </c>
      <c r="C545" s="63">
        <f>IF(D545&lt;&gt;"","S"&amp;TEXT(WEEKNUM(D545),"00"),"")</f>
      </c>
      <c r="D545" s="42">
        <f>IF(AND(Data!Q387&lt;&gt;"",Data!L387="Accept&amp;#233;"),Data!Q387,"")</f>
        <v>25569.041666666668</v>
      </c>
      <c r="E545" s="64">
        <f>IF(AND(Data!R387&lt;&gt;"",Data!L387="Accept&amp;#233;"),Data!R387,"")</f>
      </c>
      <c r="F545" s="65">
        <f>IF(AND(Data!R387&lt;&gt;"",Data!L387="Accept&amp;#233;"),Data!S387,"")</f>
      </c>
      <c r="G545" s="66">
        <f>IF(Data!R387='Delivery Plan'!E545,Data!U387,"")</f>
      </c>
      <c r="H545" s="53"/>
      <c r="I545" s="63">
        <f>IF(J545&lt;&gt;"","S"&amp;TEXT(WEEKNUM(J545),"00"),"")</f>
      </c>
      <c r="J545" s="42">
        <f>IF(AND(E545=Data!R380,Data!AA380&lt;&gt;""),Data!AA380,"")</f>
        <v>25569.041666666668</v>
      </c>
      <c r="K545" s="67">
        <f>IF(AND(E545=Data!R380,Data!AE380&lt;&gt;""),Data!AE380,"")</f>
        <v>25569.041666666668</v>
      </c>
      <c r="L545" s="68">
        <f>IF(E545=Data!R387,Data!AI387,"")</f>
      </c>
      <c r="M545" s="68">
        <f>IF(E545=Data!R387,Data!AJ387,"")</f>
      </c>
      <c r="N545" s="69">
        <f>IF(AND(Data!R387&lt;&gt;"",Data!L387="Accept&amp;#233;"),Data!K387,"")</f>
      </c>
    </row>
    <row x14ac:dyDescent="0.25" r="546" customHeight="1" ht="19.5" hidden="1">
      <c r="A546" s="62">
        <f>IF(AND(Data!R388&lt;&gt;"",Data!L388="Accept&amp;#233;"),Data!G388,"")</f>
      </c>
      <c r="B546" s="62">
        <f>IF(AND(Data!R388&lt;&gt;"",Data!L388="Accept&amp;#233;"),Data!L388,"")</f>
      </c>
      <c r="C546" s="63">
        <f>IF(D546&lt;&gt;"","S"&amp;TEXT(WEEKNUM(D546),"00"),"")</f>
      </c>
      <c r="D546" s="42">
        <f>IF(AND(Data!Q388&lt;&gt;"",Data!L388="Accept&amp;#233;"),Data!Q388,"")</f>
        <v>25569.041666666668</v>
      </c>
      <c r="E546" s="64">
        <f>IF(AND(Data!R388&lt;&gt;"",Data!L388="Accept&amp;#233;"),Data!R388,"")</f>
      </c>
      <c r="F546" s="65">
        <f>IF(AND(Data!R388&lt;&gt;"",Data!L388="Accept&amp;#233;"),Data!S388,"")</f>
      </c>
      <c r="G546" s="66">
        <f>IF(Data!R388='Delivery Plan'!E546,Data!U388,"")</f>
      </c>
      <c r="H546" s="53"/>
      <c r="I546" s="63">
        <f>IF(J546&lt;&gt;"","S"&amp;TEXT(WEEKNUM(J546),"00"),"")</f>
      </c>
      <c r="J546" s="42">
        <f>IF(AND(E546=Data!R381,Data!AA381&lt;&gt;""),Data!AA381,"")</f>
        <v>25569.041666666668</v>
      </c>
      <c r="K546" s="67">
        <f>IF(AND(E546=Data!R381,Data!AE381&lt;&gt;""),Data!AE381,"")</f>
        <v>25569.041666666668</v>
      </c>
      <c r="L546" s="68">
        <f>IF(E546=Data!R388,Data!AI388,"")</f>
      </c>
      <c r="M546" s="68">
        <f>IF(E546=Data!R388,Data!AJ388,"")</f>
      </c>
      <c r="N546" s="69">
        <f>IF(AND(Data!R388&lt;&gt;"",Data!L388="Accept&amp;#233;"),Data!K388,"")</f>
      </c>
    </row>
    <row x14ac:dyDescent="0.25" r="547" customHeight="1" ht="19.5" hidden="1">
      <c r="A547" s="62">
        <f>IF(AND(Data!R389&lt;&gt;"",Data!L389="Accept&amp;#233;"),Data!G389,"")</f>
      </c>
      <c r="B547" s="62">
        <f>IF(AND(Data!R389&lt;&gt;"",Data!L389="Accept&amp;#233;"),Data!L389,"")</f>
      </c>
      <c r="C547" s="63">
        <f>IF(D547&lt;&gt;"","S"&amp;TEXT(WEEKNUM(D547),"00"),"")</f>
      </c>
      <c r="D547" s="42">
        <f>IF(AND(Data!Q389&lt;&gt;"",Data!L389="Accept&amp;#233;"),Data!Q389,"")</f>
        <v>25569.041666666668</v>
      </c>
      <c r="E547" s="64">
        <f>IF(AND(Data!R389&lt;&gt;"",Data!L389="Accept&amp;#233;"),Data!R389,"")</f>
      </c>
      <c r="F547" s="65">
        <f>IF(AND(Data!R389&lt;&gt;"",Data!L389="Accept&amp;#233;"),Data!S389,"")</f>
      </c>
      <c r="G547" s="66">
        <f>IF(Data!R389='Delivery Plan'!E547,Data!U389,"")</f>
      </c>
      <c r="H547" s="53"/>
      <c r="I547" s="63">
        <f>IF(J547&lt;&gt;"","S"&amp;TEXT(WEEKNUM(J547),"00"),"")</f>
      </c>
      <c r="J547" s="42">
        <f>IF(AND(E547=Data!R382,Data!AA382&lt;&gt;""),Data!AA382,"")</f>
        <v>25569.041666666668</v>
      </c>
      <c r="K547" s="67">
        <f>IF(AND(E547=Data!R382,Data!AE382&lt;&gt;""),Data!AE382,"")</f>
        <v>25569.041666666668</v>
      </c>
      <c r="L547" s="68">
        <f>IF(E547=Data!R389,Data!AI389,"")</f>
      </c>
      <c r="M547" s="68">
        <f>IF(E547=Data!R389,Data!AJ389,"")</f>
      </c>
      <c r="N547" s="69">
        <f>IF(AND(Data!R389&lt;&gt;"",Data!L389="Accept&amp;#233;"),Data!K389,"")</f>
      </c>
    </row>
    <row x14ac:dyDescent="0.25" r="548" customHeight="1" ht="19.5" hidden="1">
      <c r="A548" s="62">
        <f>IF(AND(Data!R390&lt;&gt;"",Data!L390="Accept&amp;#233;"),Data!G390,"")</f>
      </c>
      <c r="B548" s="62">
        <f>IF(AND(Data!R390&lt;&gt;"",Data!L390="Accept&amp;#233;"),Data!L390,"")</f>
      </c>
      <c r="C548" s="63">
        <f>IF(D548&lt;&gt;"","S"&amp;TEXT(WEEKNUM(D548),"00"),"")</f>
      </c>
      <c r="D548" s="42">
        <f>IF(AND(Data!Q390&lt;&gt;"",Data!L390="Accept&amp;#233;"),Data!Q390,"")</f>
        <v>25569.041666666668</v>
      </c>
      <c r="E548" s="64">
        <f>IF(AND(Data!R390&lt;&gt;"",Data!L390="Accept&amp;#233;"),Data!R390,"")</f>
      </c>
      <c r="F548" s="65">
        <f>IF(AND(Data!R390&lt;&gt;"",Data!L390="Accept&amp;#233;"),Data!S390,"")</f>
      </c>
      <c r="G548" s="66">
        <f>IF(Data!R390='Delivery Plan'!E548,Data!U390,"")</f>
      </c>
      <c r="H548" s="53"/>
      <c r="I548" s="63">
        <f>IF(J548&lt;&gt;"","S"&amp;TEXT(WEEKNUM(J548),"00"),"")</f>
      </c>
      <c r="J548" s="42">
        <f>IF(AND(E548=Data!R383,Data!AA383&lt;&gt;""),Data!AA383,"")</f>
        <v>25569.041666666668</v>
      </c>
      <c r="K548" s="67">
        <f>IF(AND(E548=Data!R383,Data!AE383&lt;&gt;""),Data!AE383,"")</f>
        <v>25569.041666666668</v>
      </c>
      <c r="L548" s="68">
        <f>IF(E548=Data!R390,Data!AI390,"")</f>
      </c>
      <c r="M548" s="68">
        <f>IF(E548=Data!R390,Data!AJ390,"")</f>
      </c>
      <c r="N548" s="69">
        <f>IF(AND(Data!R390&lt;&gt;"",Data!L390="Accept&amp;#233;"),Data!K390,"")</f>
      </c>
    </row>
    <row x14ac:dyDescent="0.25" r="549" customHeight="1" ht="19.5" hidden="1">
      <c r="A549" s="62">
        <f>IF(AND(Data!R391&lt;&gt;"",Data!L391="Accept&amp;#233;"),Data!G391,"")</f>
      </c>
      <c r="B549" s="62">
        <f>IF(AND(Data!R391&lt;&gt;"",Data!L391="Accept&amp;#233;"),Data!L391,"")</f>
      </c>
      <c r="C549" s="63">
        <f>IF(D549&lt;&gt;"","S"&amp;TEXT(WEEKNUM(D549),"00"),"")</f>
      </c>
      <c r="D549" s="42">
        <f>IF(AND(Data!Q391&lt;&gt;"",Data!L391="Accept&amp;#233;"),Data!Q391,"")</f>
        <v>25569.041666666668</v>
      </c>
      <c r="E549" s="64">
        <f>IF(AND(Data!R391&lt;&gt;"",Data!L391="Accept&amp;#233;"),Data!R391,"")</f>
      </c>
      <c r="F549" s="65">
        <f>IF(AND(Data!R391&lt;&gt;"",Data!L391="Accept&amp;#233;"),Data!S391,"")</f>
      </c>
      <c r="G549" s="66">
        <f>IF(Data!R391='Delivery Plan'!E549,Data!U391,"")</f>
      </c>
      <c r="H549" s="53"/>
      <c r="I549" s="63">
        <f>IF(J549&lt;&gt;"","S"&amp;TEXT(WEEKNUM(J549),"00"),"")</f>
      </c>
      <c r="J549" s="42">
        <f>IF(AND(E549=Data!R384,Data!AA384&lt;&gt;""),Data!AA384,"")</f>
        <v>25569.041666666668</v>
      </c>
      <c r="K549" s="67">
        <f>IF(AND(E549=Data!R384,Data!AE384&lt;&gt;""),Data!AE384,"")</f>
        <v>25569.041666666668</v>
      </c>
      <c r="L549" s="68">
        <f>IF(E549=Data!R391,Data!AI391,"")</f>
      </c>
      <c r="M549" s="68">
        <f>IF(E549=Data!R391,Data!AJ391,"")</f>
      </c>
      <c r="N549" s="69">
        <f>IF(AND(Data!R391&lt;&gt;"",Data!L391="Accept&amp;#233;"),Data!K391,"")</f>
      </c>
    </row>
    <row x14ac:dyDescent="0.25" r="550" customHeight="1" ht="19.5" hidden="1">
      <c r="A550" s="62">
        <f>IF(AND(Data!R392&lt;&gt;"",Data!L392="Accept&amp;#233;"),Data!G392,"")</f>
      </c>
      <c r="B550" s="62">
        <f>IF(AND(Data!R392&lt;&gt;"",Data!L392="Accept&amp;#233;"),Data!L392,"")</f>
      </c>
      <c r="C550" s="63">
        <f>IF(D550&lt;&gt;"","S"&amp;TEXT(WEEKNUM(D550),"00"),"")</f>
      </c>
      <c r="D550" s="42">
        <f>IF(AND(Data!Q392&lt;&gt;"",Data!L392="Accept&amp;#233;"),Data!Q392,"")</f>
        <v>25569.041666666668</v>
      </c>
      <c r="E550" s="64">
        <f>IF(AND(Data!R392&lt;&gt;"",Data!L392="Accept&amp;#233;"),Data!R392,"")</f>
      </c>
      <c r="F550" s="65">
        <f>IF(AND(Data!R392&lt;&gt;"",Data!L392="Accept&amp;#233;"),Data!S392,"")</f>
      </c>
      <c r="G550" s="66">
        <f>IF(Data!R392='Delivery Plan'!E550,Data!U392,"")</f>
      </c>
      <c r="H550" s="53"/>
      <c r="I550" s="63">
        <f>IF(J550&lt;&gt;"","S"&amp;TEXT(WEEKNUM(J550),"00"),"")</f>
      </c>
      <c r="J550" s="42">
        <f>IF(AND(E550=Data!R385,Data!AA385&lt;&gt;""),Data!AA385,"")</f>
        <v>25569.041666666668</v>
      </c>
      <c r="K550" s="67">
        <f>IF(AND(E550=Data!R385,Data!AE385&lt;&gt;""),Data!AE385,"")</f>
        <v>25569.041666666668</v>
      </c>
      <c r="L550" s="68">
        <f>IF(E550=Data!R392,Data!AI392,"")</f>
      </c>
      <c r="M550" s="68">
        <f>IF(E550=Data!R392,Data!AJ392,"")</f>
      </c>
      <c r="N550" s="69">
        <f>IF(AND(Data!R392&lt;&gt;"",Data!L392="Accept&amp;#233;"),Data!K392,"")</f>
      </c>
    </row>
    <row x14ac:dyDescent="0.25" r="551" customHeight="1" ht="19.5" hidden="1">
      <c r="A551" s="62">
        <f>IF(AND(Data!R393&lt;&gt;"",Data!L393="Accept&amp;#233;"),Data!G393,"")</f>
      </c>
      <c r="B551" s="62">
        <f>IF(AND(Data!R393&lt;&gt;"",Data!L393="Accept&amp;#233;"),Data!L393,"")</f>
      </c>
      <c r="C551" s="63">
        <f>IF(D551&lt;&gt;"","S"&amp;TEXT(WEEKNUM(D551),"00"),"")</f>
      </c>
      <c r="D551" s="42">
        <f>IF(AND(Data!Q393&lt;&gt;"",Data!L393="Accept&amp;#233;"),Data!Q393,"")</f>
        <v>25569.041666666668</v>
      </c>
      <c r="E551" s="64">
        <f>IF(AND(Data!R393&lt;&gt;"",Data!L393="Accept&amp;#233;"),Data!R393,"")</f>
      </c>
      <c r="F551" s="65">
        <f>IF(AND(Data!R393&lt;&gt;"",Data!L393="Accept&amp;#233;"),Data!S393,"")</f>
      </c>
      <c r="G551" s="66">
        <f>IF(Data!R393='Delivery Plan'!E551,Data!U393,"")</f>
      </c>
      <c r="H551" s="53"/>
      <c r="I551" s="63">
        <f>IF(J551&lt;&gt;"","S"&amp;TEXT(WEEKNUM(J551),"00"),"")</f>
      </c>
      <c r="J551" s="42">
        <f>IF(AND(E551=Data!R386,Data!AA386&lt;&gt;""),Data!AA386,"")</f>
        <v>25569.041666666668</v>
      </c>
      <c r="K551" s="67">
        <f>IF(AND(E551=Data!R386,Data!AE386&lt;&gt;""),Data!AE386,"")</f>
        <v>25569.041666666668</v>
      </c>
      <c r="L551" s="68">
        <f>IF(E551=Data!R393,Data!AI393,"")</f>
      </c>
      <c r="M551" s="68">
        <f>IF(E551=Data!R393,Data!AJ393,"")</f>
      </c>
      <c r="N551" s="69">
        <f>IF(AND(Data!R393&lt;&gt;"",Data!L393="Accept&amp;#233;"),Data!K393,"")</f>
      </c>
    </row>
    <row x14ac:dyDescent="0.25" r="552" customHeight="1" ht="19.5" hidden="1">
      <c r="A552" s="62">
        <f>IF(AND(Data!R394&lt;&gt;"",Data!L394="Accept&amp;#233;"),Data!G394,"")</f>
      </c>
      <c r="B552" s="62">
        <f>IF(AND(Data!R394&lt;&gt;"",Data!L394="Accept&amp;#233;"),Data!L394,"")</f>
      </c>
      <c r="C552" s="63">
        <f>IF(D552&lt;&gt;"","S"&amp;TEXT(WEEKNUM(D552),"00"),"")</f>
      </c>
      <c r="D552" s="42">
        <f>IF(AND(Data!Q394&lt;&gt;"",Data!L394="Accept&amp;#233;"),Data!Q394,"")</f>
        <v>25569.041666666668</v>
      </c>
      <c r="E552" s="64">
        <f>IF(AND(Data!R394&lt;&gt;"",Data!L394="Accept&amp;#233;"),Data!R394,"")</f>
      </c>
      <c r="F552" s="65">
        <f>IF(AND(Data!R394&lt;&gt;"",Data!L394="Accept&amp;#233;"),Data!S394,"")</f>
      </c>
      <c r="G552" s="66">
        <f>IF(Data!R394='Delivery Plan'!E552,Data!U394,"")</f>
      </c>
      <c r="H552" s="53"/>
      <c r="I552" s="63">
        <f>IF(J552&lt;&gt;"","S"&amp;TEXT(WEEKNUM(J552),"00"),"")</f>
      </c>
      <c r="J552" s="42">
        <f>IF(AND(E552=Data!R387,Data!AA387&lt;&gt;""),Data!AA387,"")</f>
        <v>25569.041666666668</v>
      </c>
      <c r="K552" s="67">
        <f>IF(AND(E552=Data!R387,Data!AE387&lt;&gt;""),Data!AE387,"")</f>
        <v>25569.041666666668</v>
      </c>
      <c r="L552" s="68">
        <f>IF(E552=Data!R394,Data!AI394,"")</f>
      </c>
      <c r="M552" s="68">
        <f>IF(E552=Data!R394,Data!AJ394,"")</f>
      </c>
      <c r="N552" s="69">
        <f>IF(AND(Data!R394&lt;&gt;"",Data!L394="Accept&amp;#233;"),Data!K394,"")</f>
      </c>
    </row>
    <row x14ac:dyDescent="0.25" r="553" customHeight="1" ht="19.5" hidden="1">
      <c r="A553" s="62">
        <f>IF(AND(Data!R395&lt;&gt;"",Data!L395="Accept&amp;#233;"),Data!G395,"")</f>
      </c>
      <c r="B553" s="62">
        <f>IF(AND(Data!R395&lt;&gt;"",Data!L395="Accept&amp;#233;"),Data!L395,"")</f>
      </c>
      <c r="C553" s="63">
        <f>IF(D553&lt;&gt;"","S"&amp;TEXT(WEEKNUM(D553),"00"),"")</f>
      </c>
      <c r="D553" s="42">
        <f>IF(AND(Data!Q395&lt;&gt;"",Data!L395="Accept&amp;#233;"),Data!Q395,"")</f>
        <v>25569.041666666668</v>
      </c>
      <c r="E553" s="64">
        <f>IF(AND(Data!R395&lt;&gt;"",Data!L395="Accept&amp;#233;"),Data!R395,"")</f>
      </c>
      <c r="F553" s="65">
        <f>IF(AND(Data!R395&lt;&gt;"",Data!L395="Accept&amp;#233;"),Data!S395,"")</f>
      </c>
      <c r="G553" s="66">
        <f>IF(Data!R395='Delivery Plan'!E553,Data!U395,"")</f>
      </c>
      <c r="H553" s="53"/>
      <c r="I553" s="63">
        <f>IF(J553&lt;&gt;"","S"&amp;TEXT(WEEKNUM(J553),"00"),"")</f>
      </c>
      <c r="J553" s="42">
        <f>IF(AND(E553=Data!R388,Data!AA388&lt;&gt;""),Data!AA388,"")</f>
        <v>25569.041666666668</v>
      </c>
      <c r="K553" s="67">
        <f>IF(AND(E553=Data!R388,Data!AE388&lt;&gt;""),Data!AE388,"")</f>
        <v>25569.041666666668</v>
      </c>
      <c r="L553" s="68">
        <f>IF(E553=Data!R395,Data!AI395,"")</f>
      </c>
      <c r="M553" s="68">
        <f>IF(E553=Data!R395,Data!AJ395,"")</f>
      </c>
      <c r="N553" s="69">
        <f>IF(AND(Data!R395&lt;&gt;"",Data!L395="Accept&amp;#233;"),Data!K395,"")</f>
      </c>
    </row>
    <row x14ac:dyDescent="0.25" r="554" customHeight="1" ht="19.5" hidden="1">
      <c r="A554" s="62">
        <f>IF(AND(Data!R396&lt;&gt;"",Data!L396="Accept&amp;#233;"),Data!G396,"")</f>
      </c>
      <c r="B554" s="62">
        <f>IF(AND(Data!R396&lt;&gt;"",Data!L396="Accept&amp;#233;"),Data!L396,"")</f>
      </c>
      <c r="C554" s="63">
        <f>IF(D554&lt;&gt;"","S"&amp;TEXT(WEEKNUM(D554),"00"),"")</f>
      </c>
      <c r="D554" s="42">
        <f>IF(AND(Data!Q396&lt;&gt;"",Data!L396="Accept&amp;#233;"),Data!Q396,"")</f>
        <v>25569.041666666668</v>
      </c>
      <c r="E554" s="64">
        <f>IF(AND(Data!R396&lt;&gt;"",Data!L396="Accept&amp;#233;"),Data!R396,"")</f>
      </c>
      <c r="F554" s="65">
        <f>IF(AND(Data!R396&lt;&gt;"",Data!L396="Accept&amp;#233;"),Data!S396,"")</f>
      </c>
      <c r="G554" s="66">
        <f>IF(Data!R396='Delivery Plan'!E554,Data!U396,"")</f>
      </c>
      <c r="H554" s="53"/>
      <c r="I554" s="63">
        <f>IF(J554&lt;&gt;"","S"&amp;TEXT(WEEKNUM(J554),"00"),"")</f>
      </c>
      <c r="J554" s="42">
        <f>IF(AND(E554=Data!R389,Data!AA389&lt;&gt;""),Data!AA389,"")</f>
        <v>25569.041666666668</v>
      </c>
      <c r="K554" s="67">
        <f>IF(AND(E554=Data!R389,Data!AE389&lt;&gt;""),Data!AE389,"")</f>
        <v>25569.041666666668</v>
      </c>
      <c r="L554" s="68">
        <f>IF(E554=Data!R396,Data!AI396,"")</f>
      </c>
      <c r="M554" s="68">
        <f>IF(E554=Data!R396,Data!AJ396,"")</f>
      </c>
      <c r="N554" s="69">
        <f>IF(AND(Data!R396&lt;&gt;"",Data!L396="Accept&amp;#233;"),Data!K396,"")</f>
      </c>
    </row>
    <row x14ac:dyDescent="0.25" r="555" customHeight="1" ht="19.5" hidden="1">
      <c r="A555" s="62">
        <f>IF(AND(Data!R397&lt;&gt;"",Data!L397="Accept&amp;#233;"),Data!G397,"")</f>
      </c>
      <c r="B555" s="62">
        <f>IF(AND(Data!R397&lt;&gt;"",Data!L397="Accept&amp;#233;"),Data!L397,"")</f>
      </c>
      <c r="C555" s="63">
        <f>IF(D555&lt;&gt;"","S"&amp;TEXT(WEEKNUM(D555),"00"),"")</f>
      </c>
      <c r="D555" s="42">
        <f>IF(AND(Data!Q397&lt;&gt;"",Data!L397="Accept&amp;#233;"),Data!Q397,"")</f>
        <v>25569.041666666668</v>
      </c>
      <c r="E555" s="64">
        <f>IF(AND(Data!R397&lt;&gt;"",Data!L397="Accept&amp;#233;"),Data!R397,"")</f>
      </c>
      <c r="F555" s="65">
        <f>IF(AND(Data!R397&lt;&gt;"",Data!L397="Accept&amp;#233;"),Data!S397,"")</f>
      </c>
      <c r="G555" s="66">
        <f>IF(Data!R397='Delivery Plan'!E555,Data!U397,"")</f>
      </c>
      <c r="H555" s="53"/>
      <c r="I555" s="63">
        <f>IF(J555&lt;&gt;"","S"&amp;TEXT(WEEKNUM(J555),"00"),"")</f>
      </c>
      <c r="J555" s="42">
        <f>IF(AND(E555=Data!R390,Data!AA390&lt;&gt;""),Data!AA390,"")</f>
        <v>25569.041666666668</v>
      </c>
      <c r="K555" s="67">
        <f>IF(AND(E555=Data!R390,Data!AE390&lt;&gt;""),Data!AE390,"")</f>
        <v>25569.041666666668</v>
      </c>
      <c r="L555" s="68">
        <f>IF(E555=Data!R397,Data!AI397,"")</f>
      </c>
      <c r="M555" s="68">
        <f>IF(E555=Data!R397,Data!AJ397,"")</f>
      </c>
      <c r="N555" s="69">
        <f>IF(AND(Data!R397&lt;&gt;"",Data!L397="Accept&amp;#233;"),Data!K397,"")</f>
      </c>
    </row>
    <row x14ac:dyDescent="0.25" r="556" customHeight="1" ht="19.5" hidden="1">
      <c r="A556" s="62">
        <f>IF(AND(Data!R398&lt;&gt;"",Data!L398="Accept&amp;#233;"),Data!G398,"")</f>
      </c>
      <c r="B556" s="62">
        <f>IF(AND(Data!R398&lt;&gt;"",Data!L398="Accept&amp;#233;"),Data!L398,"")</f>
      </c>
      <c r="C556" s="63">
        <f>IF(D556&lt;&gt;"","S"&amp;TEXT(WEEKNUM(D556),"00"),"")</f>
      </c>
      <c r="D556" s="42">
        <f>IF(AND(Data!Q398&lt;&gt;"",Data!L398="Accept&amp;#233;"),Data!Q398,"")</f>
        <v>25569.041666666668</v>
      </c>
      <c r="E556" s="64">
        <f>IF(AND(Data!R398&lt;&gt;"",Data!L398="Accept&amp;#233;"),Data!R398,"")</f>
      </c>
      <c r="F556" s="65">
        <f>IF(AND(Data!R398&lt;&gt;"",Data!L398="Accept&amp;#233;"),Data!S398,"")</f>
      </c>
      <c r="G556" s="66">
        <f>IF(Data!R398='Delivery Plan'!E556,Data!U398,"")</f>
      </c>
      <c r="H556" s="53"/>
      <c r="I556" s="63">
        <f>IF(J556&lt;&gt;"","S"&amp;TEXT(WEEKNUM(J556),"00"),"")</f>
      </c>
      <c r="J556" s="42">
        <f>IF(AND(E556=Data!R391,Data!AA391&lt;&gt;""),Data!AA391,"")</f>
        <v>25569.041666666668</v>
      </c>
      <c r="K556" s="67">
        <f>IF(AND(E556=Data!R391,Data!AE391&lt;&gt;""),Data!AE391,"")</f>
        <v>25569.041666666668</v>
      </c>
      <c r="L556" s="68">
        <f>IF(E556=Data!R398,Data!AI398,"")</f>
      </c>
      <c r="M556" s="68">
        <f>IF(E556=Data!R398,Data!AJ398,"")</f>
      </c>
      <c r="N556" s="69">
        <f>IF(AND(Data!R398&lt;&gt;"",Data!L398="Accept&amp;#233;"),Data!K398,"")</f>
      </c>
    </row>
    <row x14ac:dyDescent="0.25" r="557" customHeight="1" ht="19.5" hidden="1">
      <c r="A557" s="62">
        <f>IF(AND(Data!R399&lt;&gt;"",Data!L399="Accept&amp;#233;"),Data!G399,"")</f>
      </c>
      <c r="B557" s="62">
        <f>IF(AND(Data!R399&lt;&gt;"",Data!L399="Accept&amp;#233;"),Data!L399,"")</f>
      </c>
      <c r="C557" s="63">
        <f>IF(D557&lt;&gt;"","S"&amp;TEXT(WEEKNUM(D557),"00"),"")</f>
      </c>
      <c r="D557" s="42">
        <f>IF(AND(Data!Q399&lt;&gt;"",Data!L399="Accept&amp;#233;"),Data!Q399,"")</f>
        <v>25569.041666666668</v>
      </c>
      <c r="E557" s="64">
        <f>IF(AND(Data!R399&lt;&gt;"",Data!L399="Accept&amp;#233;"),Data!R399,"")</f>
      </c>
      <c r="F557" s="65">
        <f>IF(AND(Data!R399&lt;&gt;"",Data!L399="Accept&amp;#233;"),Data!S399,"")</f>
      </c>
      <c r="G557" s="66">
        <f>IF(Data!R399='Delivery Plan'!E557,Data!U399,"")</f>
      </c>
      <c r="H557" s="53"/>
      <c r="I557" s="63">
        <f>IF(J557&lt;&gt;"","S"&amp;TEXT(WEEKNUM(J557),"00"),"")</f>
      </c>
      <c r="J557" s="42">
        <f>IF(AND(E557=Data!R392,Data!AA392&lt;&gt;""),Data!AA392,"")</f>
        <v>25569.041666666668</v>
      </c>
      <c r="K557" s="67">
        <f>IF(AND(E557=Data!R392,Data!AE392&lt;&gt;""),Data!AE392,"")</f>
        <v>25569.041666666668</v>
      </c>
      <c r="L557" s="68">
        <f>IF(E557=Data!R399,Data!AI399,"")</f>
      </c>
      <c r="M557" s="68">
        <f>IF(E557=Data!R399,Data!AJ399,"")</f>
      </c>
      <c r="N557" s="69">
        <f>IF(AND(Data!R399&lt;&gt;"",Data!L399="Accept&amp;#233;"),Data!K399,"")</f>
      </c>
    </row>
    <row x14ac:dyDescent="0.25" r="558" customHeight="1" ht="19.5" hidden="1">
      <c r="A558" s="62">
        <f>IF(AND(Data!R400&lt;&gt;"",Data!L400="Accept&amp;#233;"),Data!G400,"")</f>
      </c>
      <c r="B558" s="62">
        <f>IF(AND(Data!R400&lt;&gt;"",Data!L400="Accept&amp;#233;"),Data!L400,"")</f>
      </c>
      <c r="C558" s="63">
        <f>IF(D558&lt;&gt;"","S"&amp;TEXT(WEEKNUM(D558),"00"),"")</f>
      </c>
      <c r="D558" s="42">
        <f>IF(AND(Data!Q400&lt;&gt;"",Data!L400="Accept&amp;#233;"),Data!Q400,"")</f>
        <v>25569.041666666668</v>
      </c>
      <c r="E558" s="64">
        <f>IF(AND(Data!R400&lt;&gt;"",Data!L400="Accept&amp;#233;"),Data!R400,"")</f>
      </c>
      <c r="F558" s="65">
        <f>IF(AND(Data!R400&lt;&gt;"",Data!L400="Accept&amp;#233;"),Data!S400,"")</f>
      </c>
      <c r="G558" s="66">
        <f>IF(Data!R400='Delivery Plan'!E558,Data!U400,"")</f>
      </c>
      <c r="H558" s="53"/>
      <c r="I558" s="63">
        <f>IF(J558&lt;&gt;"","S"&amp;TEXT(WEEKNUM(J558),"00"),"")</f>
      </c>
      <c r="J558" s="42">
        <f>IF(AND(E558=Data!R393,Data!AA393&lt;&gt;""),Data!AA393,"")</f>
        <v>25569.041666666668</v>
      </c>
      <c r="K558" s="67">
        <f>IF(AND(E558=Data!R393,Data!AE393&lt;&gt;""),Data!AE393,"")</f>
        <v>25569.041666666668</v>
      </c>
      <c r="L558" s="68">
        <f>IF(E558=Data!R400,Data!AI400,"")</f>
      </c>
      <c r="M558" s="68">
        <f>IF(E558=Data!R400,Data!AJ400,"")</f>
      </c>
      <c r="N558" s="69">
        <f>IF(AND(Data!R400&lt;&gt;"",Data!L400="Accept&amp;#233;"),Data!K400,"")</f>
      </c>
    </row>
    <row x14ac:dyDescent="0.25" r="559" customHeight="1" ht="19.5" hidden="1">
      <c r="A559" s="62">
        <f>IF(AND(Data!R401&lt;&gt;"",Data!L401="Accept&amp;#233;"),Data!G401,"")</f>
      </c>
      <c r="B559" s="62">
        <f>IF(AND(Data!R401&lt;&gt;"",Data!L401="Accept&amp;#233;"),Data!L401,"")</f>
      </c>
      <c r="C559" s="63">
        <f>IF(D559&lt;&gt;"","S"&amp;TEXT(WEEKNUM(D559),"00"),"")</f>
      </c>
      <c r="D559" s="42">
        <f>IF(AND(Data!Q401&lt;&gt;"",Data!L401="Accept&amp;#233;"),Data!Q401,"")</f>
        <v>25569.041666666668</v>
      </c>
      <c r="E559" s="64">
        <f>IF(AND(Data!R401&lt;&gt;"",Data!L401="Accept&amp;#233;"),Data!R401,"")</f>
      </c>
      <c r="F559" s="65">
        <f>IF(AND(Data!R401&lt;&gt;"",Data!L401="Accept&amp;#233;"),Data!S401,"")</f>
      </c>
      <c r="G559" s="66">
        <f>IF(Data!R401='Delivery Plan'!E559,Data!U401,"")</f>
      </c>
      <c r="H559" s="53"/>
      <c r="I559" s="63">
        <f>IF(J559&lt;&gt;"","S"&amp;TEXT(WEEKNUM(J559),"00"),"")</f>
      </c>
      <c r="J559" s="42">
        <f>IF(AND(E559=Data!R394,Data!AA394&lt;&gt;""),Data!AA394,"")</f>
        <v>25569.041666666668</v>
      </c>
      <c r="K559" s="67">
        <f>IF(AND(E559=Data!R394,Data!AE394&lt;&gt;""),Data!AE394,"")</f>
        <v>25569.041666666668</v>
      </c>
      <c r="L559" s="68">
        <f>IF(E559=Data!R401,Data!AI401,"")</f>
      </c>
      <c r="M559" s="68">
        <f>IF(E559=Data!R401,Data!AJ401,"")</f>
      </c>
      <c r="N559" s="69">
        <f>IF(AND(Data!R401&lt;&gt;"",Data!L401="Accept&amp;#233;"),Data!K401,"")</f>
      </c>
    </row>
    <row x14ac:dyDescent="0.25" r="560" customHeight="1" ht="19.5" hidden="1">
      <c r="A560" s="62">
        <f>IF(AND(Data!R402&lt;&gt;"",Data!L402="Accept&amp;#233;"),Data!G402,"")</f>
      </c>
      <c r="B560" s="62">
        <f>IF(AND(Data!R402&lt;&gt;"",Data!L402="Accept&amp;#233;"),Data!L402,"")</f>
      </c>
      <c r="C560" s="63">
        <f>IF(D560&lt;&gt;"","S"&amp;TEXT(WEEKNUM(D560),"00"),"")</f>
      </c>
      <c r="D560" s="42">
        <f>IF(AND(Data!Q402&lt;&gt;"",Data!L402="Accept&amp;#233;"),Data!Q402,"")</f>
        <v>25569.041666666668</v>
      </c>
      <c r="E560" s="64">
        <f>IF(AND(Data!R402&lt;&gt;"",Data!L402="Accept&amp;#233;"),Data!R402,"")</f>
      </c>
      <c r="F560" s="65">
        <f>IF(AND(Data!R402&lt;&gt;"",Data!L402="Accept&amp;#233;"),Data!S402,"")</f>
      </c>
      <c r="G560" s="66">
        <f>IF(Data!R402='Delivery Plan'!E560,Data!U402,"")</f>
      </c>
      <c r="H560" s="53"/>
      <c r="I560" s="63">
        <f>IF(J560&lt;&gt;"","S"&amp;TEXT(WEEKNUM(J560),"00"),"")</f>
      </c>
      <c r="J560" s="42">
        <f>IF(AND(E560=Data!R395,Data!AA395&lt;&gt;""),Data!AA395,"")</f>
        <v>25569.041666666668</v>
      </c>
      <c r="K560" s="67">
        <f>IF(AND(E560=Data!R395,Data!AE395&lt;&gt;""),Data!AE395,"")</f>
        <v>25569.041666666668</v>
      </c>
      <c r="L560" s="68">
        <f>IF(E560=Data!R402,Data!AI402,"")</f>
      </c>
      <c r="M560" s="68">
        <f>IF(E560=Data!R402,Data!AJ402,"")</f>
      </c>
      <c r="N560" s="69">
        <f>IF(AND(Data!R402&lt;&gt;"",Data!L402="Accept&amp;#233;"),Data!K402,"")</f>
      </c>
    </row>
    <row x14ac:dyDescent="0.25" r="561" customHeight="1" ht="19.5" hidden="1">
      <c r="A561" s="62">
        <f>IF(AND(Data!R403&lt;&gt;"",Data!L403="Accept&amp;#233;"),Data!G403,"")</f>
      </c>
      <c r="B561" s="62">
        <f>IF(AND(Data!R403&lt;&gt;"",Data!L403="Accept&amp;#233;"),Data!L403,"")</f>
      </c>
      <c r="C561" s="63">
        <f>IF(D561&lt;&gt;"","S"&amp;TEXT(WEEKNUM(D561),"00"),"")</f>
      </c>
      <c r="D561" s="42">
        <f>IF(AND(Data!Q403&lt;&gt;"",Data!L403="Accept&amp;#233;"),Data!Q403,"")</f>
        <v>25569.041666666668</v>
      </c>
      <c r="E561" s="64">
        <f>IF(AND(Data!R403&lt;&gt;"",Data!L403="Accept&amp;#233;"),Data!R403,"")</f>
      </c>
      <c r="F561" s="65">
        <f>IF(AND(Data!R403&lt;&gt;"",Data!L403="Accept&amp;#233;"),Data!S403,"")</f>
      </c>
      <c r="G561" s="66">
        <f>IF(Data!R403='Delivery Plan'!E561,Data!U403,"")</f>
      </c>
      <c r="H561" s="53"/>
      <c r="I561" s="63">
        <f>IF(J561&lt;&gt;"","S"&amp;TEXT(WEEKNUM(J561),"00"),"")</f>
      </c>
      <c r="J561" s="42">
        <f>IF(AND(E561=Data!R396,Data!AA396&lt;&gt;""),Data!AA396,"")</f>
        <v>25569.041666666668</v>
      </c>
      <c r="K561" s="67">
        <f>IF(AND(E561=Data!R396,Data!AE396&lt;&gt;""),Data!AE396,"")</f>
        <v>25569.041666666668</v>
      </c>
      <c r="L561" s="68">
        <f>IF(E561=Data!R403,Data!AI403,"")</f>
      </c>
      <c r="M561" s="68">
        <f>IF(E561=Data!R403,Data!AJ403,"")</f>
      </c>
      <c r="N561" s="69">
        <f>IF(AND(Data!R403&lt;&gt;"",Data!L403="Accept&amp;#233;"),Data!K403,"")</f>
      </c>
    </row>
  </sheetData>
  <mergeCells count="2">
    <mergeCell ref="C2:G2"/>
    <mergeCell ref="I2:K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6"/>
  <sheetViews>
    <sheetView workbookViewId="0">
      <pane state="frozen" activePane="bottomLeft" topLeftCell="A7" ySplit="6" xSplit="0"/>
    </sheetView>
  </sheetViews>
  <sheetFormatPr defaultRowHeight="15" x14ac:dyDescent="0.25"/>
  <cols>
    <col min="1" max="1" style="17" width="14.147857142857141" customWidth="1" bestFit="1"/>
    <col min="2" max="2" style="17" width="14.147857142857141" customWidth="1" bestFit="1"/>
    <col min="3" max="3" style="46" width="11.43357142857143" customWidth="1" bestFit="1"/>
    <col min="4" max="4" style="17" width="14.43357142857143" customWidth="1" bestFit="1"/>
    <col min="5" max="5" style="17" width="14.147857142857141" customWidth="1" bestFit="1"/>
    <col min="6" max="6" style="17" width="35.005" customWidth="1" bestFit="1"/>
    <col min="7" max="7" style="17" width="11.43357142857143" customWidth="1" bestFit="1"/>
    <col min="8" max="8" style="17" width="14.147857142857141" customWidth="1" bestFit="1"/>
    <col min="9" max="9" style="17" width="14.147857142857141" customWidth="1" bestFit="1"/>
    <col min="10" max="10" style="17" width="39.14785714285715" customWidth="1" bestFit="1"/>
    <col min="11" max="11" style="17" width="14.147857142857141" customWidth="1" bestFit="1"/>
    <col min="12" max="12" style="17" width="32.14785714285715" customWidth="1" bestFit="1"/>
    <col min="13" max="13" style="47" width="14.147857142857141" customWidth="1" bestFit="1"/>
    <col min="14" max="14" style="47" width="14.147857142857141" customWidth="1" bestFit="1"/>
    <col min="15" max="15" style="46" width="14.147857142857141" customWidth="1" bestFit="1"/>
    <col min="16" max="16" style="47" width="14.147857142857141" customWidth="1" bestFit="1"/>
    <col min="17" max="17" style="46" width="14.147857142857141" customWidth="1" bestFit="1"/>
    <col min="18" max="18" style="47" width="14.147857142857141" customWidth="1" bestFit="1"/>
    <col min="19" max="19" style="47" width="14.147857142857141" customWidth="1" bestFit="1"/>
    <col min="20" max="20" style="47" width="14.147857142857141" customWidth="1" bestFit="1"/>
    <col min="21" max="21" style="47" width="14.147857142857141" customWidth="1" bestFit="1"/>
    <col min="22" max="22" style="46" width="14.147857142857141" customWidth="1" bestFit="1"/>
    <col min="23" max="23" style="47" width="14.147857142857141" customWidth="1" bestFit="1"/>
    <col min="24" max="24" style="47" width="14.147857142857141" customWidth="1" bestFit="1"/>
    <col min="25" max="25" style="17" width="12.43357142857143" customWidth="1" bestFit="1"/>
  </cols>
  <sheetData>
    <row x14ac:dyDescent="0.25" r="1" customHeight="1" ht="23.399999999999995">
      <c r="A1" s="19" t="s">
        <v>50</v>
      </c>
      <c r="B1" s="19"/>
      <c r="C1" s="10"/>
      <c r="D1" s="3"/>
      <c r="E1" s="3"/>
      <c r="F1" s="3"/>
      <c r="G1" s="3"/>
      <c r="H1" s="3"/>
      <c r="I1" s="3"/>
      <c r="J1" s="3"/>
      <c r="K1" s="3"/>
      <c r="L1" s="3"/>
      <c r="M1" s="20">
        <f>DATE(2018,1,1)</f>
        <v>25569.041666666668</v>
      </c>
      <c r="N1" s="20">
        <f>DATE(2018,2,1)</f>
        <v>25569.041666666668</v>
      </c>
      <c r="O1" s="20">
        <f>DATE(2018,3,1)</f>
        <v>25569.041666666668</v>
      </c>
      <c r="P1" s="20">
        <f>DATE(2018,4,1)</f>
        <v>25569.041666666668</v>
      </c>
      <c r="Q1" s="20">
        <f>DATE(2018,5,1)</f>
        <v>25569.041666666668</v>
      </c>
      <c r="R1" s="20">
        <f>DATE(2018,6,1)</f>
        <v>25569.041666666668</v>
      </c>
      <c r="S1" s="20">
        <f>DATE(2018,7,1)</f>
        <v>25569.041666666668</v>
      </c>
      <c r="T1" s="20">
        <f>DATE(2018,8,1)</f>
        <v>25569.041666666668</v>
      </c>
      <c r="U1" s="20">
        <f>DATE(2018,9,1)</f>
        <v>25569.041666666668</v>
      </c>
      <c r="V1" s="20">
        <f>DATE(2018,10,1)</f>
        <v>25569.041666666668</v>
      </c>
      <c r="W1" s="20">
        <f>DATE(2018,11,1)</f>
        <v>25569.041666666668</v>
      </c>
      <c r="X1" s="20">
        <f>DATE(2018,12,1)</f>
        <v>25569.041666666668</v>
      </c>
      <c r="Y1" s="21" t="s">
        <v>51</v>
      </c>
    </row>
    <row x14ac:dyDescent="0.25" r="2" customHeight="1" ht="19.5">
      <c r="A2" s="3"/>
      <c r="B2" s="3"/>
      <c r="C2" s="22"/>
      <c r="D2" s="3"/>
      <c r="E2" s="3"/>
      <c r="F2" s="3"/>
      <c r="G2" s="3"/>
      <c r="H2" s="3"/>
      <c r="I2" s="3"/>
      <c r="J2" s="3"/>
      <c r="K2" s="3"/>
      <c r="L2" s="23" t="s">
        <v>52</v>
      </c>
      <c r="M2" s="10">
        <f>SUMIFS($C:$C,$B:$B,"&gt;="&amp;M$1,$B:$B,"&lt;="&amp;EOMONTH(M$1,0))</f>
      </c>
      <c r="N2" s="10">
        <f>SUMIFS($C:$C,$B:$B,"&gt;="&amp;N$1,$B:$B,"&lt;="&amp;EOMONTH(N$1,0))</f>
      </c>
      <c r="O2" s="10">
        <f>SUMIFS($C:$C,$B:$B,"&gt;="&amp;O$1,$B:$B,"&lt;="&amp;EOMONTH(O$1,0))</f>
      </c>
      <c r="P2" s="10">
        <f>SUMIFS($C:$C,$B:$B,"&gt;="&amp;P$1,$B:$B,"&lt;="&amp;EOMONTH(P$1,0))</f>
      </c>
      <c r="Q2" s="10">
        <f>SUMIFS($C:$C,$B:$B,"&gt;="&amp;Q$1,$B:$B,"&lt;="&amp;EOMONTH(Q$1,0))</f>
      </c>
      <c r="R2" s="10">
        <f>SUMIFS($C:$C,$B:$B,"&gt;="&amp;R$1,$B:$B,"&lt;="&amp;EOMONTH(R$1,0))</f>
      </c>
      <c r="S2" s="10">
        <f>SUMIFS($C:$C,$B:$B,"&gt;="&amp;S$1,$B:$B,"&lt;="&amp;EOMONTH(S$1,0))</f>
      </c>
      <c r="T2" s="10">
        <f>SUMIFS($C:$C,$B:$B,"&gt;="&amp;T$1,$B:$B,"&lt;="&amp;EOMONTH(T$1,0))</f>
      </c>
      <c r="U2" s="10">
        <f>SUMIFS($C:$C,$B:$B,"&gt;="&amp;U$1,$B:$B,"&lt;="&amp;EOMONTH(U$1,0))</f>
      </c>
      <c r="V2" s="10">
        <f>SUMIFS($C:$C,$B:$B,"&gt;="&amp;V$1,$B:$B,"&lt;="&amp;EOMONTH(V$1,0))</f>
      </c>
      <c r="W2" s="10">
        <f>SUMIFS($C:$C,$B:$B,"&gt;="&amp;W$1,$B:$B,"&lt;="&amp;EOMONTH(W$1,0))</f>
      </c>
      <c r="X2" s="10">
        <f>SUMIFS($C:$C,$B:$B,"&gt;="&amp;X$1,$B:$B,"&lt;="&amp;EOMONTH(X$1,0))</f>
      </c>
      <c r="Y2" s="10">
        <f>SUM(M2:X2)</f>
      </c>
    </row>
    <row x14ac:dyDescent="0.25" r="3" customHeight="1" ht="19.5">
      <c r="A3" s="3"/>
      <c r="B3" s="3"/>
      <c r="C3" s="22"/>
      <c r="D3" s="3"/>
      <c r="E3" s="3"/>
      <c r="F3" s="3"/>
      <c r="G3" s="3"/>
      <c r="H3" s="3"/>
      <c r="I3" s="3"/>
      <c r="J3" s="3"/>
      <c r="K3" s="3"/>
      <c r="L3" s="23" t="s">
        <v>53</v>
      </c>
      <c r="M3" s="10">
        <f>-SUMIFS($C:$C,$B:$B,"&gt;="&amp;M$1,$B:$B,"&lt;="&amp;EOMONTH(M$1,0),$D:$D,"&lt;&gt;X")</f>
      </c>
      <c r="N3" s="10">
        <f>-SUMIFS($C:$C,$B:$B,"&gt;="&amp;N$1,$B:$B,"&lt;="&amp;EOMONTH(N$1,0),$D:$D,"&lt;&gt;X")</f>
      </c>
      <c r="O3" s="10">
        <f>-SUMIFS($C:$C,$B:$B,"&gt;="&amp;O$1,$B:$B,"&lt;="&amp;EOMONTH(O$1,0),$D:$D,"&lt;&gt;X")</f>
      </c>
      <c r="P3" s="10">
        <f>-SUMIFS($C:$C,$B:$B,"&gt;="&amp;P$1,$B:$B,"&lt;="&amp;EOMONTH(P$1,0),$D:$D,"&lt;&gt;X")</f>
      </c>
      <c r="Q3" s="10">
        <f>-SUMIFS($C:$C,$B:$B,"&gt;="&amp;Q$1,$B:$B,"&lt;="&amp;EOMONTH(Q$1,0),$D:$D,"&lt;&gt;X")</f>
      </c>
      <c r="R3" s="10">
        <f>-SUMIFS($C:$C,$B:$B,"&gt;="&amp;R$1,$B:$B,"&lt;="&amp;EOMONTH(R$1,0),$D:$D,"&lt;&gt;X")</f>
      </c>
      <c r="S3" s="10">
        <f>-SUMIFS($C:$C,$B:$B,"&gt;="&amp;S$1,$B:$B,"&lt;="&amp;EOMONTH(S$1,0),$D:$D,"&lt;&gt;X")</f>
      </c>
      <c r="T3" s="10">
        <f>-SUMIFS($C:$C,$B:$B,"&gt;="&amp;T$1,$B:$B,"&lt;="&amp;EOMONTH(T$1,0),$D:$D,"&lt;&gt;X")</f>
      </c>
      <c r="U3" s="10">
        <f>-SUMIFS($C:$C,$B:$B,"&gt;="&amp;U$1,$B:$B,"&lt;="&amp;EOMONTH(U$1,0),$D:$D,"&lt;&gt;X")</f>
      </c>
      <c r="V3" s="10">
        <f>-SUMIFS($C:$C,$B:$B,"&gt;="&amp;V$1,$B:$B,"&lt;="&amp;EOMONTH(V$1,0),$D:$D,"&lt;&gt;X")</f>
      </c>
      <c r="W3" s="10">
        <f>-SUMIFS($C:$C,$B:$B,"&gt;="&amp;W$1,$B:$B,"&lt;="&amp;EOMONTH(W$1,0),$D:$D,"&lt;&gt;X")</f>
      </c>
      <c r="X3" s="10">
        <f>-SUMIFS($C:$C,$B:$B,"&gt;="&amp;X$1,$B:$B,"&lt;="&amp;EOMONTH(X$1,0),$D:$D,"&lt;&gt;X")</f>
      </c>
      <c r="Y3" s="10">
        <f>SUM(M3:X3)</f>
      </c>
    </row>
    <row x14ac:dyDescent="0.25" r="4" customHeight="1" ht="19.5">
      <c r="A4" s="24" t="s">
        <v>54</v>
      </c>
      <c r="B4" s="24"/>
      <c r="C4" s="25"/>
      <c r="D4" s="24"/>
      <c r="E4" s="26" t="s">
        <v>55</v>
      </c>
      <c r="F4" s="26"/>
      <c r="G4" s="26"/>
      <c r="H4" s="26"/>
      <c r="I4" s="26"/>
      <c r="J4" s="26"/>
      <c r="K4" s="3"/>
      <c r="L4" s="27" t="s">
        <v>56</v>
      </c>
      <c r="M4" s="10">
        <f>-SUMIFS($H:$H,$G:$G,"&gt;="&amp;M$1,$G:$G,"&lt;="&amp;EOMONTH(M$1,0),$I:$I,"&lt;&gt;X")</f>
      </c>
      <c r="N4" s="10">
        <f>-SUMIFS($H:$H,$G:$G,"&gt;="&amp;N$1,$G:$G,"&lt;="&amp;EOMONTH(N$1,0),$I:$I,"&lt;&gt;X")</f>
      </c>
      <c r="O4" s="10">
        <f>-SUMIFS($H:$H,$G:$G,"&gt;="&amp;O$1,$G:$G,"&lt;="&amp;EOMONTH(O$1,0),$I:$I,"&lt;&gt;X")</f>
      </c>
      <c r="P4" s="10">
        <f>-SUMIFS($H:$H,$G:$G,"&gt;="&amp;P$1,$G:$G,"&lt;="&amp;EOMONTH(P$1,0),$I:$I,"&lt;&gt;X")</f>
      </c>
      <c r="Q4" s="10">
        <f>-SUMIFS($H:$H,$G:$G,"&gt;="&amp;Q$1,$G:$G,"&lt;="&amp;EOMONTH(Q$1,0),$I:$I,"&lt;&gt;X")</f>
      </c>
      <c r="R4" s="10">
        <f>-SUMIFS($H:$H,$G:$G,"&gt;="&amp;R$1,$G:$G,"&lt;="&amp;EOMONTH(R$1,0),$I:$I,"&lt;&gt;X")</f>
      </c>
      <c r="S4" s="10">
        <f>-SUMIFS($H:$H,$G:$G,"&gt;="&amp;S$1,$G:$G,"&lt;="&amp;EOMONTH(S$1,0),$I:$I,"&lt;&gt;X")</f>
      </c>
      <c r="T4" s="10">
        <f>-SUMIFS($H:$H,$G:$G,"&gt;="&amp;T$1,$G:$G,"&lt;="&amp;EOMONTH(T$1,0),$I:$I,"&lt;&gt;X")</f>
      </c>
      <c r="U4" s="10">
        <f>-SUMIFS($H:$H,$G:$G,"&gt;="&amp;U$1,$G:$G,"&lt;="&amp;EOMONTH(U$1,0),$I:$I,"&lt;&gt;X")</f>
      </c>
      <c r="V4" s="10">
        <f>-SUMIFS($H:$H,$G:$G,"&gt;="&amp;V$1,$G:$G,"&lt;="&amp;EOMONTH(V$1,0),$I:$I,"&lt;&gt;X")</f>
      </c>
      <c r="W4" s="10">
        <f>-SUMIFS($H:$H,$G:$G,"&gt;="&amp;W$1,$G:$G,"&lt;="&amp;EOMONTH(W$1,0),$I:$I,"&lt;&gt;X")</f>
      </c>
      <c r="X4" s="10">
        <f>-SUMIFS($H:$H,$G:$G,"&gt;="&amp;X$1,$G:$G,"&lt;="&amp;EOMONTH(X$1,0),$I:$I,"&lt;&gt;X")</f>
      </c>
      <c r="Y4" s="10">
        <f>SUM(M4:X4)</f>
      </c>
    </row>
    <row x14ac:dyDescent="0.25" r="5" customHeight="1" ht="19.5">
      <c r="A5" s="25">
        <f>SUM(C:C)</f>
      </c>
      <c r="B5" s="24"/>
      <c r="C5" s="25"/>
      <c r="D5" s="24"/>
      <c r="E5" s="28">
        <f>-SUM(H:H)</f>
      </c>
      <c r="F5" s="28"/>
      <c r="G5" s="28"/>
      <c r="H5" s="28"/>
      <c r="I5" s="28"/>
      <c r="J5" s="28"/>
      <c r="K5" s="3"/>
      <c r="L5" s="27" t="s">
        <v>57</v>
      </c>
      <c r="M5" s="10">
        <f>-SUMIFS($H:$H,$G:$G,"&gt;="&amp;M$1,$G:$G,"&lt;="&amp;EOMONTH(M$1,0))</f>
      </c>
      <c r="N5" s="10">
        <f>-SUMIFS($H:$H,$G:$G,"&gt;="&amp;N$1,$G:$G,"&lt;="&amp;EOMONTH(N$1,0))</f>
      </c>
      <c r="O5" s="10">
        <f>-SUMIFS($H:$H,$G:$G,"&gt;="&amp;O$1,$G:$G,"&lt;="&amp;EOMONTH(O$1,0))</f>
      </c>
      <c r="P5" s="10">
        <f>-SUMIFS($H:$H,$G:$G,"&gt;="&amp;P$1,$G:$G,"&lt;="&amp;EOMONTH(P$1,0))</f>
      </c>
      <c r="Q5" s="10">
        <f>-SUMIFS($H:$H,$G:$G,"&gt;="&amp;Q$1,$G:$G,"&lt;="&amp;EOMONTH(Q$1,0))</f>
      </c>
      <c r="R5" s="10">
        <f>-SUMIFS($H:$H,$G:$G,"&gt;="&amp;R$1,$G:$G,"&lt;="&amp;EOMONTH(R$1,0))</f>
      </c>
      <c r="S5" s="10">
        <f>-SUMIFS($H:$H,$G:$G,"&gt;="&amp;S$1,$G:$G,"&lt;="&amp;EOMONTH(S$1,0))</f>
      </c>
      <c r="T5" s="10">
        <f>-SUMIFS($H:$H,$G:$G,"&gt;="&amp;T$1,$G:$G,"&lt;="&amp;EOMONTH(T$1,0))</f>
      </c>
      <c r="U5" s="10">
        <f>-SUMIFS($H:$H,$G:$G,"&gt;="&amp;U$1,$G:$G,"&lt;="&amp;EOMONTH(U$1,0))</f>
      </c>
      <c r="V5" s="10">
        <f>-SUMIFS($H:$H,$G:$G,"&gt;="&amp;V$1,$G:$G,"&lt;="&amp;EOMONTH(V$1,0))</f>
      </c>
      <c r="W5" s="10">
        <f>-SUMIFS($H:$H,$G:$G,"&gt;="&amp;W$1,$G:$G,"&lt;="&amp;EOMONTH(W$1,0))</f>
      </c>
      <c r="X5" s="10">
        <f>-SUMIFS($H:$H,$G:$G,"&gt;="&amp;X$1,$G:$G,"&lt;="&amp;EOMONTH(X$1,0))</f>
      </c>
      <c r="Y5" s="10">
        <f>SUM(M5:X5)</f>
      </c>
    </row>
    <row x14ac:dyDescent="0.25" r="6" customHeight="1" ht="19.5">
      <c r="A6" s="23" t="s">
        <v>58</v>
      </c>
      <c r="B6" s="23" t="s">
        <v>59</v>
      </c>
      <c r="C6" s="29" t="s">
        <v>60</v>
      </c>
      <c r="D6" s="23" t="s">
        <v>61</v>
      </c>
      <c r="E6" s="27" t="s">
        <v>58</v>
      </c>
      <c r="F6" s="27" t="s">
        <v>62</v>
      </c>
      <c r="G6" s="27" t="s">
        <v>59</v>
      </c>
      <c r="H6" s="27" t="s">
        <v>60</v>
      </c>
      <c r="I6" s="27" t="s">
        <v>61</v>
      </c>
      <c r="J6" s="27" t="s">
        <v>63</v>
      </c>
      <c r="K6" s="3"/>
      <c r="L6" s="30" t="s">
        <v>64</v>
      </c>
      <c r="M6" s="10">
        <f>SUM(M2:M4)-M5</f>
      </c>
      <c r="N6" s="10">
        <f>SUM(N2:N4)-N5</f>
      </c>
      <c r="O6" s="10">
        <f>SUM(O2:O4)-O5</f>
      </c>
      <c r="P6" s="10">
        <f>SUM(P2:P4)-P5</f>
      </c>
      <c r="Q6" s="10">
        <f>SUM(Q2:Q4)-Q5</f>
      </c>
      <c r="R6" s="10">
        <f>SUM(R2:R4)-R5</f>
      </c>
      <c r="S6" s="10">
        <f>SUM(S2:S4)-S5</f>
      </c>
      <c r="T6" s="10">
        <f>SUM(T2:T4)-T5</f>
      </c>
      <c r="U6" s="10">
        <f>SUM(U2:U4)-U5</f>
      </c>
      <c r="V6" s="10">
        <f>SUM(V2:V4)-V5</f>
      </c>
      <c r="W6" s="10">
        <f>SUM(W2:W4)-W5</f>
      </c>
      <c r="X6" s="10">
        <f>SUM(X2:X4)-X5</f>
      </c>
      <c r="Y6" s="10">
        <f>SUM(M6:X6)</f>
      </c>
    </row>
    <row x14ac:dyDescent="0.25" r="7" customHeight="1" ht="19.5">
      <c r="A7" s="21"/>
      <c r="B7" s="31"/>
      <c r="C7" s="22"/>
      <c r="D7" s="3"/>
      <c r="E7" s="3"/>
      <c r="F7" s="3"/>
      <c r="G7" s="31"/>
      <c r="H7" s="32"/>
      <c r="I7" s="3"/>
      <c r="J7" s="3"/>
      <c r="K7" s="3"/>
      <c r="L7" s="33" t="s">
        <v>65</v>
      </c>
      <c r="M7" s="34">
        <f>+M5-M2</f>
      </c>
      <c r="N7" s="34">
        <f>+N5-N2</f>
      </c>
      <c r="O7" s="34">
        <f>+O5-O2</f>
      </c>
      <c r="P7" s="34">
        <f>+P5-P2</f>
      </c>
      <c r="Q7" s="34">
        <f>+Q5-Q2</f>
      </c>
      <c r="R7" s="34">
        <f>+R5-R2</f>
      </c>
      <c r="S7" s="34">
        <f>+S5-S2</f>
      </c>
      <c r="T7" s="34">
        <f>+T5-T2</f>
      </c>
      <c r="U7" s="34">
        <f>+U5-U2</f>
      </c>
      <c r="V7" s="34">
        <f>+V5-V2</f>
      </c>
      <c r="W7" s="34">
        <f>+W5-W2</f>
      </c>
      <c r="X7" s="34">
        <f>+X5-X2</f>
      </c>
      <c r="Y7" s="34">
        <f>SUM(M7:X7)</f>
      </c>
    </row>
    <row x14ac:dyDescent="0.25" r="8" customHeight="1" ht="19.5">
      <c r="A8" s="21"/>
      <c r="B8" s="31"/>
      <c r="C8" s="22"/>
      <c r="D8" s="3"/>
      <c r="E8" s="3"/>
      <c r="F8" s="3"/>
      <c r="G8" s="31"/>
      <c r="H8" s="32"/>
      <c r="I8" s="3"/>
      <c r="J8" s="3"/>
      <c r="K8" s="3"/>
      <c r="L8" s="33" t="s">
        <v>66</v>
      </c>
      <c r="M8" s="35"/>
      <c r="N8" s="35"/>
      <c r="O8" s="22"/>
      <c r="P8" s="35"/>
      <c r="Q8" s="22"/>
      <c r="R8" s="35"/>
      <c r="S8" s="35"/>
      <c r="T8" s="35"/>
      <c r="U8" s="35"/>
      <c r="V8" s="22"/>
      <c r="W8" s="35"/>
      <c r="X8" s="35"/>
      <c r="Y8" s="10">
        <f>SUM(M8:X8)</f>
      </c>
    </row>
    <row x14ac:dyDescent="0.25" r="9" customHeight="1" ht="19.5">
      <c r="A9" s="21"/>
      <c r="B9" s="31"/>
      <c r="C9" s="22"/>
      <c r="D9" s="3"/>
      <c r="E9" s="3"/>
      <c r="F9" s="3"/>
      <c r="G9" s="31"/>
      <c r="H9" s="32"/>
      <c r="I9" s="3"/>
      <c r="J9" s="3"/>
      <c r="K9" s="3"/>
      <c r="L9" s="3" t="s">
        <v>67</v>
      </c>
      <c r="M9" s="10"/>
      <c r="N9" s="10"/>
      <c r="O9" s="10">
        <v>-15888</v>
      </c>
      <c r="P9" s="10"/>
      <c r="Q9" s="10">
        <v>15888</v>
      </c>
      <c r="R9" s="10"/>
      <c r="S9" s="10"/>
      <c r="T9" s="10"/>
      <c r="U9" s="10"/>
      <c r="V9" s="10"/>
      <c r="W9" s="10"/>
      <c r="X9" s="10"/>
      <c r="Y9" s="10">
        <f>SUM(M9:X9)</f>
      </c>
    </row>
    <row x14ac:dyDescent="0.25" r="10" customHeight="1" ht="19.5">
      <c r="A10" s="21"/>
      <c r="B10" s="31"/>
      <c r="C10" s="22"/>
      <c r="D10" s="3"/>
      <c r="E10" s="3"/>
      <c r="F10" s="3"/>
      <c r="G10" s="31"/>
      <c r="H10" s="32"/>
      <c r="I10" s="3"/>
      <c r="J10" s="3"/>
      <c r="K10" s="3"/>
      <c r="L10" s="3" t="s">
        <v>68</v>
      </c>
      <c r="M10" s="35"/>
      <c r="N10" s="35"/>
      <c r="O10" s="10"/>
      <c r="P10" s="10">
        <f>C46</f>
      </c>
      <c r="Q10" s="10">
        <f>'Reconciliation SOLUNE vs SAP'!C47</f>
      </c>
      <c r="R10" s="10"/>
      <c r="S10" s="10"/>
      <c r="T10" s="10">
        <f>+H87</f>
      </c>
      <c r="U10" s="10"/>
      <c r="V10" s="10"/>
      <c r="W10" s="10"/>
      <c r="X10" s="10"/>
      <c r="Y10" s="10">
        <f>SUM(M10:X10)</f>
      </c>
    </row>
    <row x14ac:dyDescent="0.25" r="11" customHeight="1" ht="19.5">
      <c r="A11" s="21"/>
      <c r="B11" s="31"/>
      <c r="C11" s="22"/>
      <c r="D11" s="3"/>
      <c r="E11" s="3"/>
      <c r="F11" s="3"/>
      <c r="G11" s="31"/>
      <c r="H11" s="32"/>
      <c r="I11" s="3"/>
      <c r="J11" s="3"/>
      <c r="K11" s="3"/>
      <c r="L11" s="3" t="s">
        <v>69</v>
      </c>
      <c r="M11" s="10"/>
      <c r="N11" s="10"/>
      <c r="O11" s="10"/>
      <c r="P11" s="10">
        <f>SUM(H48:H50)</f>
      </c>
      <c r="Q11" s="10">
        <f>H54</f>
      </c>
      <c r="R11" s="10"/>
      <c r="S11" s="10"/>
      <c r="T11" s="10">
        <f>H82+H83+H86</f>
      </c>
      <c r="U11" s="10"/>
      <c r="V11" s="10">
        <v>-36915</v>
      </c>
      <c r="W11" s="10"/>
      <c r="X11" s="10"/>
      <c r="Y11" s="10">
        <f>SUM(M11:X11)</f>
      </c>
    </row>
    <row x14ac:dyDescent="0.25" r="12" customHeight="1" ht="19.5">
      <c r="A12" s="21"/>
      <c r="B12" s="31"/>
      <c r="C12" s="22"/>
      <c r="D12" s="3"/>
      <c r="E12" s="3"/>
      <c r="F12" s="3"/>
      <c r="G12" s="31"/>
      <c r="H12" s="32"/>
      <c r="I12" s="3"/>
      <c r="J12" s="3"/>
      <c r="K12" s="3"/>
      <c r="L12" s="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>
        <f>SUM(M12:X12)</f>
      </c>
    </row>
    <row x14ac:dyDescent="0.25" r="13" customHeight="1" ht="19.5">
      <c r="A13" s="36"/>
      <c r="B13" s="37"/>
      <c r="C13" s="38"/>
      <c r="D13" s="16"/>
      <c r="E13" s="3"/>
      <c r="F13" s="3"/>
      <c r="G13" s="31"/>
      <c r="H13" s="32"/>
      <c r="I13" s="3"/>
      <c r="J13" s="3"/>
      <c r="K13" s="3"/>
      <c r="L13" s="3"/>
      <c r="M13" s="10"/>
      <c r="N13" s="10"/>
      <c r="O13" s="10"/>
      <c r="P13" s="35"/>
      <c r="Q13" s="22"/>
      <c r="R13" s="10"/>
      <c r="S13" s="10"/>
      <c r="T13" s="10"/>
      <c r="U13" s="10"/>
      <c r="V13" s="10"/>
      <c r="W13" s="10"/>
      <c r="X13" s="10"/>
      <c r="Y13" s="10">
        <f>SUM(M13:X13)</f>
      </c>
    </row>
    <row x14ac:dyDescent="0.25" r="14" customHeight="1" ht="19.5">
      <c r="A14" s="21"/>
      <c r="B14" s="31"/>
      <c r="C14" s="22"/>
      <c r="D14" s="3"/>
      <c r="E14" s="3"/>
      <c r="F14" s="3"/>
      <c r="G14" s="31"/>
      <c r="H14" s="32"/>
      <c r="I14" s="3"/>
      <c r="J14" s="3"/>
      <c r="K14" s="3"/>
      <c r="L14" s="3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>
        <f>SUM(M14:X14)</f>
      </c>
    </row>
    <row x14ac:dyDescent="0.25" r="15" customHeight="1" ht="19.5">
      <c r="A15" s="21"/>
      <c r="B15" s="31"/>
      <c r="C15" s="22"/>
      <c r="D15" s="3"/>
      <c r="E15" s="3"/>
      <c r="F15" s="3"/>
      <c r="G15" s="31"/>
      <c r="H15" s="32"/>
      <c r="I15" s="3"/>
      <c r="J15" s="3"/>
      <c r="K15" s="3"/>
      <c r="L15" s="33" t="s">
        <v>70</v>
      </c>
      <c r="M15" s="34">
        <f>SUM(M7:M14)</f>
      </c>
      <c r="N15" s="34">
        <f>SUM(N7:N14)</f>
      </c>
      <c r="O15" s="34">
        <f>SUM(O7:O14)</f>
      </c>
      <c r="P15" s="34">
        <f>SUM(P7:P14)</f>
      </c>
      <c r="Q15" s="34">
        <f>SUM(Q7:Q14)</f>
      </c>
      <c r="R15" s="34">
        <f>SUM(R7:R14)</f>
      </c>
      <c r="S15" s="34">
        <f>SUM(S7:S14)</f>
      </c>
      <c r="T15" s="34">
        <f>SUM(T7:T14)</f>
      </c>
      <c r="U15" s="34">
        <f>SUM(U7:U14)</f>
      </c>
      <c r="V15" s="34">
        <f>SUM(V7:V14)</f>
      </c>
      <c r="W15" s="34">
        <f>SUM(W7:W14)</f>
      </c>
      <c r="X15" s="34">
        <f>SUM(X7:X14)</f>
      </c>
      <c r="Y15" s="34">
        <f>SUM(M15:X15)</f>
      </c>
    </row>
    <row x14ac:dyDescent="0.25" r="16" customHeight="1" ht="19.5">
      <c r="A16" s="21"/>
      <c r="B16" s="31"/>
      <c r="C16" s="22"/>
      <c r="D16" s="3"/>
      <c r="E16" s="3"/>
      <c r="F16" s="3"/>
      <c r="G16" s="31"/>
      <c r="H16" s="32"/>
      <c r="I16" s="3"/>
      <c r="J16" s="3"/>
      <c r="K16" s="3"/>
      <c r="L16" s="3"/>
      <c r="M16" s="35"/>
      <c r="N16" s="35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x14ac:dyDescent="0.25" r="17" customHeight="1" ht="19.5">
      <c r="A17" s="21"/>
      <c r="B17" s="31"/>
      <c r="C17" s="22"/>
      <c r="D17" s="3"/>
      <c r="E17" s="3"/>
      <c r="F17" s="3"/>
      <c r="G17" s="31"/>
      <c r="H17" s="32"/>
      <c r="I17" s="3"/>
      <c r="J17" s="3"/>
      <c r="K17" s="3"/>
      <c r="L17" s="3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x14ac:dyDescent="0.25" r="18" customHeight="1" ht="19.5">
      <c r="A18" s="21"/>
      <c r="B18" s="31"/>
      <c r="C18" s="22"/>
      <c r="D18" s="3"/>
      <c r="E18" s="3"/>
      <c r="F18" s="3"/>
      <c r="G18" s="31"/>
      <c r="H18" s="32"/>
      <c r="I18" s="3"/>
      <c r="J18" s="3"/>
      <c r="K18" s="3"/>
      <c r="L18" s="3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x14ac:dyDescent="0.25" r="19" customHeight="1" ht="19.5">
      <c r="A19" s="21"/>
      <c r="B19" s="31"/>
      <c r="C19" s="22"/>
      <c r="D19" s="3"/>
      <c r="E19" s="3"/>
      <c r="F19" s="3"/>
      <c r="G19" s="31"/>
      <c r="H19" s="32"/>
      <c r="I19" s="3"/>
      <c r="J19" s="3"/>
      <c r="K19" s="3"/>
      <c r="L19" s="3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x14ac:dyDescent="0.25" r="20" customHeight="1" ht="19.5">
      <c r="A20" s="21"/>
      <c r="B20" s="31"/>
      <c r="C20" s="22"/>
      <c r="D20" s="3"/>
      <c r="E20" s="3"/>
      <c r="F20" s="3"/>
      <c r="G20" s="31"/>
      <c r="H20" s="32"/>
      <c r="I20" s="3"/>
      <c r="J20" s="3"/>
      <c r="K20" s="3"/>
      <c r="L20" s="3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x14ac:dyDescent="0.25" r="21" customHeight="1" ht="19.5">
      <c r="A21" s="21"/>
      <c r="B21" s="31"/>
      <c r="C21" s="22"/>
      <c r="D21" s="3"/>
      <c r="E21" s="3"/>
      <c r="F21" s="3"/>
      <c r="G21" s="31"/>
      <c r="H21" s="32"/>
      <c r="I21" s="3"/>
      <c r="J21" s="3"/>
      <c r="K21" s="3"/>
      <c r="L21" s="3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x14ac:dyDescent="0.25" r="22" customHeight="1" ht="19.5">
      <c r="A22" s="21"/>
      <c r="B22" s="31"/>
      <c r="C22" s="22"/>
      <c r="D22" s="3"/>
      <c r="E22" s="3"/>
      <c r="F22" s="3"/>
      <c r="G22" s="31"/>
      <c r="H22" s="32"/>
      <c r="I22" s="3"/>
      <c r="J22" s="3"/>
      <c r="K22" s="3"/>
      <c r="L22" s="3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x14ac:dyDescent="0.25" r="23" customHeight="1" ht="19.5">
      <c r="A23" s="21"/>
      <c r="B23" s="31"/>
      <c r="C23" s="22"/>
      <c r="D23" s="3"/>
      <c r="E23" s="3"/>
      <c r="F23" s="3"/>
      <c r="G23" s="31"/>
      <c r="H23" s="32"/>
      <c r="I23" s="3"/>
      <c r="J23" s="3"/>
      <c r="K23" s="3"/>
      <c r="L23" s="3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x14ac:dyDescent="0.25" r="24" customHeight="1" ht="19.5">
      <c r="A24" s="21"/>
      <c r="B24" s="31"/>
      <c r="C24" s="22"/>
      <c r="D24" s="3"/>
      <c r="E24" s="3"/>
      <c r="F24" s="3"/>
      <c r="G24" s="31"/>
      <c r="H24" s="32"/>
      <c r="I24" s="3"/>
      <c r="J24" s="3"/>
      <c r="K24" s="3"/>
      <c r="L24" s="3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x14ac:dyDescent="0.25" r="25" customHeight="1" ht="19.5">
      <c r="A25" s="21"/>
      <c r="B25" s="31"/>
      <c r="C25" s="22"/>
      <c r="D25" s="3"/>
      <c r="E25" s="3"/>
      <c r="F25" s="3"/>
      <c r="G25" s="31"/>
      <c r="H25" s="32"/>
      <c r="I25" s="3"/>
      <c r="J25" s="3"/>
      <c r="K25" s="3"/>
      <c r="L25" s="3"/>
      <c r="M25" s="35"/>
      <c r="N25" s="35"/>
      <c r="O25" s="22"/>
      <c r="P25" s="35"/>
      <c r="Q25" s="22"/>
      <c r="R25" s="35"/>
      <c r="S25" s="35"/>
      <c r="T25" s="35"/>
      <c r="U25" s="35"/>
      <c r="V25" s="22"/>
      <c r="W25" s="35"/>
      <c r="X25" s="35"/>
      <c r="Y25" s="3"/>
    </row>
    <row x14ac:dyDescent="0.25" r="26" customHeight="1" ht="19.5">
      <c r="A26" s="21"/>
      <c r="B26" s="31"/>
      <c r="C26" s="22"/>
      <c r="D26" s="3"/>
      <c r="E26" s="3"/>
      <c r="F26" s="3"/>
      <c r="G26" s="31"/>
      <c r="H26" s="32"/>
      <c r="I26" s="3"/>
      <c r="J26" s="3"/>
      <c r="K26" s="3"/>
      <c r="L26" s="3"/>
      <c r="M26" s="35"/>
      <c r="N26" s="35"/>
      <c r="O26" s="22"/>
      <c r="P26" s="35"/>
      <c r="Q26" s="22"/>
      <c r="R26" s="35"/>
      <c r="S26" s="35"/>
      <c r="T26" s="35"/>
      <c r="U26" s="35"/>
      <c r="V26" s="22"/>
      <c r="W26" s="35"/>
      <c r="X26" s="35"/>
      <c r="Y26" s="3"/>
    </row>
    <row x14ac:dyDescent="0.25" r="27" customHeight="1" ht="19.5">
      <c r="A27" s="21"/>
      <c r="B27" s="31"/>
      <c r="C27" s="22"/>
      <c r="D27" s="3"/>
      <c r="E27" s="3"/>
      <c r="F27" s="3"/>
      <c r="G27" s="31"/>
      <c r="H27" s="32"/>
      <c r="I27" s="3"/>
      <c r="J27" s="3"/>
      <c r="K27" s="3"/>
      <c r="L27" s="3"/>
      <c r="M27" s="35"/>
      <c r="N27" s="35"/>
      <c r="O27" s="22"/>
      <c r="P27" s="35"/>
      <c r="Q27" s="22"/>
      <c r="R27" s="35"/>
      <c r="S27" s="35"/>
      <c r="T27" s="35"/>
      <c r="U27" s="35"/>
      <c r="V27" s="22"/>
      <c r="W27" s="35"/>
      <c r="X27" s="35"/>
      <c r="Y27" s="3"/>
    </row>
    <row x14ac:dyDescent="0.25" r="28" customHeight="1" ht="19.5">
      <c r="A28" s="21"/>
      <c r="B28" s="31"/>
      <c r="C28" s="22"/>
      <c r="D28" s="3"/>
      <c r="E28" s="3"/>
      <c r="F28" s="3"/>
      <c r="G28" s="31"/>
      <c r="H28" s="32"/>
      <c r="I28" s="3"/>
      <c r="J28" s="3"/>
      <c r="K28" s="3"/>
      <c r="L28" s="3"/>
      <c r="M28" s="35"/>
      <c r="N28" s="35"/>
      <c r="O28" s="22"/>
      <c r="P28" s="35"/>
      <c r="Q28" s="22"/>
      <c r="R28" s="35"/>
      <c r="S28" s="35"/>
      <c r="T28" s="35"/>
      <c r="U28" s="35"/>
      <c r="V28" s="22"/>
      <c r="W28" s="35"/>
      <c r="X28" s="35"/>
      <c r="Y28" s="3"/>
    </row>
    <row x14ac:dyDescent="0.25" r="29" customHeight="1" ht="19.5">
      <c r="A29" s="21"/>
      <c r="B29" s="31"/>
      <c r="C29" s="22"/>
      <c r="D29" s="3"/>
      <c r="E29" s="3"/>
      <c r="F29" s="3"/>
      <c r="G29" s="31"/>
      <c r="H29" s="32"/>
      <c r="I29" s="3"/>
      <c r="J29" s="3"/>
      <c r="K29" s="3"/>
      <c r="L29" s="3"/>
      <c r="M29" s="35"/>
      <c r="N29" s="35"/>
      <c r="O29" s="22"/>
      <c r="P29" s="35"/>
      <c r="Q29" s="22"/>
      <c r="R29" s="35"/>
      <c r="S29" s="35"/>
      <c r="T29" s="35"/>
      <c r="U29" s="35"/>
      <c r="V29" s="22"/>
      <c r="W29" s="35"/>
      <c r="X29" s="35"/>
      <c r="Y29" s="3"/>
    </row>
    <row x14ac:dyDescent="0.25" r="30" customHeight="1" ht="19.5">
      <c r="A30" s="21"/>
      <c r="B30" s="31"/>
      <c r="C30" s="22"/>
      <c r="D30" s="3"/>
      <c r="E30" s="3"/>
      <c r="F30" s="3"/>
      <c r="G30" s="31"/>
      <c r="H30" s="32"/>
      <c r="I30" s="3"/>
      <c r="J30" s="3"/>
      <c r="K30" s="3"/>
      <c r="L30" s="3"/>
      <c r="M30" s="35"/>
      <c r="N30" s="35"/>
      <c r="O30" s="22"/>
      <c r="P30" s="35"/>
      <c r="Q30" s="22"/>
      <c r="R30" s="35"/>
      <c r="S30" s="35"/>
      <c r="T30" s="35"/>
      <c r="U30" s="35"/>
      <c r="V30" s="22"/>
      <c r="W30" s="35"/>
      <c r="X30" s="35"/>
      <c r="Y30" s="3"/>
    </row>
    <row x14ac:dyDescent="0.25" r="31" customHeight="1" ht="19.5">
      <c r="A31" s="21"/>
      <c r="B31" s="31"/>
      <c r="C31" s="22"/>
      <c r="D31" s="3"/>
      <c r="E31" s="3"/>
      <c r="F31" s="3"/>
      <c r="G31" s="31"/>
      <c r="H31" s="32"/>
      <c r="I31" s="3"/>
      <c r="J31" s="3"/>
      <c r="K31" s="3"/>
      <c r="L31" s="3"/>
      <c r="M31" s="35"/>
      <c r="N31" s="35"/>
      <c r="O31" s="22"/>
      <c r="P31" s="35"/>
      <c r="Q31" s="22"/>
      <c r="R31" s="35"/>
      <c r="S31" s="35"/>
      <c r="T31" s="35"/>
      <c r="U31" s="35"/>
      <c r="V31" s="22"/>
      <c r="W31" s="35"/>
      <c r="X31" s="35"/>
      <c r="Y31" s="3"/>
    </row>
    <row x14ac:dyDescent="0.25" r="32" customHeight="1" ht="19.5">
      <c r="A32" s="21"/>
      <c r="B32" s="31"/>
      <c r="C32" s="22"/>
      <c r="D32" s="3"/>
      <c r="E32" s="3"/>
      <c r="F32" s="3"/>
      <c r="G32" s="31"/>
      <c r="H32" s="32"/>
      <c r="I32" s="3"/>
      <c r="J32" s="3"/>
      <c r="K32" s="3"/>
      <c r="L32" s="3"/>
      <c r="M32" s="35"/>
      <c r="N32" s="35"/>
      <c r="O32" s="22"/>
      <c r="P32" s="35"/>
      <c r="Q32" s="22"/>
      <c r="R32" s="35"/>
      <c r="S32" s="35"/>
      <c r="T32" s="35"/>
      <c r="U32" s="35"/>
      <c r="V32" s="22"/>
      <c r="W32" s="35"/>
      <c r="X32" s="35"/>
      <c r="Y32" s="3"/>
    </row>
    <row x14ac:dyDescent="0.25" r="33" customHeight="1" ht="19.5">
      <c r="A33" s="21"/>
      <c r="B33" s="31"/>
      <c r="C33" s="22"/>
      <c r="D33" s="3"/>
      <c r="E33" s="3"/>
      <c r="F33" s="3"/>
      <c r="G33" s="31"/>
      <c r="H33" s="32"/>
      <c r="I33" s="3"/>
      <c r="J33" s="3"/>
      <c r="K33" s="3"/>
      <c r="L33" s="3"/>
      <c r="M33" s="35"/>
      <c r="N33" s="35"/>
      <c r="O33" s="22"/>
      <c r="P33" s="35"/>
      <c r="Q33" s="22"/>
      <c r="R33" s="35"/>
      <c r="S33" s="35"/>
      <c r="T33" s="35"/>
      <c r="U33" s="35"/>
      <c r="V33" s="22"/>
      <c r="W33" s="35"/>
      <c r="X33" s="35"/>
      <c r="Y33" s="3"/>
    </row>
    <row x14ac:dyDescent="0.25" r="34" customHeight="1" ht="19.5">
      <c r="A34" s="21"/>
      <c r="B34" s="31"/>
      <c r="C34" s="22"/>
      <c r="D34" s="3"/>
      <c r="E34" s="3"/>
      <c r="F34" s="3"/>
      <c r="G34" s="31"/>
      <c r="H34" s="32"/>
      <c r="I34" s="3"/>
      <c r="J34" s="3"/>
      <c r="K34" s="3"/>
      <c r="L34" s="3"/>
      <c r="M34" s="35"/>
      <c r="N34" s="35"/>
      <c r="O34" s="22"/>
      <c r="P34" s="35"/>
      <c r="Q34" s="22"/>
      <c r="R34" s="35"/>
      <c r="S34" s="35"/>
      <c r="T34" s="35"/>
      <c r="U34" s="35"/>
      <c r="V34" s="22"/>
      <c r="W34" s="35"/>
      <c r="X34" s="35"/>
      <c r="Y34" s="3"/>
    </row>
    <row x14ac:dyDescent="0.25" r="35" customHeight="1" ht="19.5">
      <c r="A35" s="21"/>
      <c r="B35" s="31"/>
      <c r="C35" s="22"/>
      <c r="D35" s="3"/>
      <c r="E35" s="3"/>
      <c r="F35" s="3"/>
      <c r="G35" s="31"/>
      <c r="H35" s="32"/>
      <c r="I35" s="3"/>
      <c r="J35" s="3"/>
      <c r="K35" s="3"/>
      <c r="L35" s="3"/>
      <c r="M35" s="35"/>
      <c r="N35" s="35"/>
      <c r="O35" s="22"/>
      <c r="P35" s="35"/>
      <c r="Q35" s="22"/>
      <c r="R35" s="35"/>
      <c r="S35" s="35"/>
      <c r="T35" s="35"/>
      <c r="U35" s="35"/>
      <c r="V35" s="22"/>
      <c r="W35" s="35"/>
      <c r="X35" s="35"/>
      <c r="Y35" s="3"/>
    </row>
    <row x14ac:dyDescent="0.25" r="36" customHeight="1" ht="19.5">
      <c r="A36" s="21"/>
      <c r="B36" s="31"/>
      <c r="C36" s="22"/>
      <c r="D36" s="3"/>
      <c r="E36" s="3"/>
      <c r="F36" s="3"/>
      <c r="G36" s="31"/>
      <c r="H36" s="32"/>
      <c r="I36" s="3"/>
      <c r="J36" s="3"/>
      <c r="K36" s="3"/>
      <c r="L36" s="3"/>
      <c r="M36" s="35"/>
      <c r="N36" s="35"/>
      <c r="O36" s="22"/>
      <c r="P36" s="35"/>
      <c r="Q36" s="22"/>
      <c r="R36" s="35"/>
      <c r="S36" s="35"/>
      <c r="T36" s="35"/>
      <c r="U36" s="35"/>
      <c r="V36" s="22"/>
      <c r="W36" s="35"/>
      <c r="X36" s="35"/>
      <c r="Y36" s="3"/>
    </row>
    <row x14ac:dyDescent="0.25" r="37" customHeight="1" ht="19.5">
      <c r="A37" s="21"/>
      <c r="B37" s="31"/>
      <c r="C37" s="22"/>
      <c r="D37" s="3"/>
      <c r="E37" s="3"/>
      <c r="F37" s="3"/>
      <c r="G37" s="37"/>
      <c r="H37" s="32"/>
      <c r="I37" s="16"/>
      <c r="J37" s="3"/>
      <c r="K37" s="3"/>
      <c r="L37" s="3"/>
      <c r="M37" s="35"/>
      <c r="N37" s="35"/>
      <c r="O37" s="22"/>
      <c r="P37" s="35"/>
      <c r="Q37" s="22"/>
      <c r="R37" s="35"/>
      <c r="S37" s="35"/>
      <c r="T37" s="35"/>
      <c r="U37" s="35"/>
      <c r="V37" s="22"/>
      <c r="W37" s="35"/>
      <c r="X37" s="35"/>
      <c r="Y37" s="3"/>
    </row>
    <row x14ac:dyDescent="0.25" r="38" customHeight="1" ht="19.5">
      <c r="A38" s="21"/>
      <c r="B38" s="31"/>
      <c r="C38" s="22"/>
      <c r="D38" s="3"/>
      <c r="E38" s="3"/>
      <c r="F38" s="3"/>
      <c r="G38" s="31"/>
      <c r="H38" s="32"/>
      <c r="I38" s="3"/>
      <c r="J38" s="3"/>
      <c r="K38" s="3"/>
      <c r="L38" s="3"/>
      <c r="M38" s="35"/>
      <c r="N38" s="35"/>
      <c r="O38" s="22"/>
      <c r="P38" s="35"/>
      <c r="Q38" s="22"/>
      <c r="R38" s="35"/>
      <c r="S38" s="35"/>
      <c r="T38" s="35"/>
      <c r="U38" s="35"/>
      <c r="V38" s="22"/>
      <c r="W38" s="35"/>
      <c r="X38" s="35"/>
      <c r="Y38" s="3"/>
    </row>
    <row x14ac:dyDescent="0.25" r="39" customHeight="1" ht="19.5">
      <c r="A39" s="21"/>
      <c r="B39" s="31"/>
      <c r="C39" s="22"/>
      <c r="D39" s="3"/>
      <c r="E39" s="3"/>
      <c r="F39" s="3"/>
      <c r="G39" s="31"/>
      <c r="H39" s="32"/>
      <c r="I39" s="3"/>
      <c r="J39" s="3"/>
      <c r="K39" s="3"/>
      <c r="L39" s="3"/>
      <c r="M39" s="35"/>
      <c r="N39" s="35"/>
      <c r="O39" s="22"/>
      <c r="P39" s="35"/>
      <c r="Q39" s="22"/>
      <c r="R39" s="35"/>
      <c r="S39" s="35"/>
      <c r="T39" s="35"/>
      <c r="U39" s="35"/>
      <c r="V39" s="22"/>
      <c r="W39" s="35"/>
      <c r="X39" s="35"/>
      <c r="Y39" s="3"/>
    </row>
    <row x14ac:dyDescent="0.25" r="40" customHeight="1" ht="19.5">
      <c r="A40" s="21"/>
      <c r="B40" s="31"/>
      <c r="C40" s="22"/>
      <c r="D40" s="3"/>
      <c r="E40" s="3"/>
      <c r="F40" s="3"/>
      <c r="G40" s="31"/>
      <c r="H40" s="10"/>
      <c r="I40" s="3"/>
      <c r="J40" s="3"/>
      <c r="K40" s="3"/>
      <c r="L40" s="3"/>
      <c r="M40" s="35"/>
      <c r="N40" s="35"/>
      <c r="O40" s="22"/>
      <c r="P40" s="35"/>
      <c r="Q40" s="22"/>
      <c r="R40" s="35"/>
      <c r="S40" s="35"/>
      <c r="T40" s="35"/>
      <c r="U40" s="35"/>
      <c r="V40" s="22"/>
      <c r="W40" s="35"/>
      <c r="X40" s="35"/>
      <c r="Y40" s="3"/>
    </row>
    <row x14ac:dyDescent="0.25" r="41" customHeight="1" ht="19.5">
      <c r="A41" s="21"/>
      <c r="B41" s="31"/>
      <c r="C41" s="22"/>
      <c r="D41" s="3"/>
      <c r="E41" s="3"/>
      <c r="F41" s="3"/>
      <c r="G41" s="31"/>
      <c r="H41" s="10"/>
      <c r="I41" s="3"/>
      <c r="J41" s="3"/>
      <c r="K41" s="3"/>
      <c r="L41" s="3"/>
      <c r="M41" s="35"/>
      <c r="N41" s="35"/>
      <c r="O41" s="22"/>
      <c r="P41" s="35"/>
      <c r="Q41" s="22"/>
      <c r="R41" s="35"/>
      <c r="S41" s="35"/>
      <c r="T41" s="35"/>
      <c r="U41" s="35"/>
      <c r="V41" s="22"/>
      <c r="W41" s="35"/>
      <c r="X41" s="35"/>
      <c r="Y41" s="3"/>
    </row>
    <row x14ac:dyDescent="0.25" r="42" customHeight="1" ht="19.5">
      <c r="A42" s="21"/>
      <c r="B42" s="31"/>
      <c r="C42" s="22"/>
      <c r="D42" s="3"/>
      <c r="E42" s="39"/>
      <c r="F42" s="3"/>
      <c r="G42" s="31"/>
      <c r="H42" s="40"/>
      <c r="I42" s="3"/>
      <c r="J42" s="3"/>
      <c r="K42" s="3"/>
      <c r="L42" s="3"/>
      <c r="M42" s="35"/>
      <c r="N42" s="35"/>
      <c r="O42" s="22"/>
      <c r="P42" s="35"/>
      <c r="Q42" s="22"/>
      <c r="R42" s="35"/>
      <c r="S42" s="35"/>
      <c r="T42" s="35"/>
      <c r="U42" s="35"/>
      <c r="V42" s="22"/>
      <c r="W42" s="35"/>
      <c r="X42" s="35"/>
      <c r="Y42" s="3"/>
    </row>
    <row x14ac:dyDescent="0.25" r="43" customHeight="1" ht="19.5">
      <c r="A43" s="21"/>
      <c r="B43" s="31"/>
      <c r="C43" s="22"/>
      <c r="D43" s="3"/>
      <c r="E43" s="39"/>
      <c r="F43" s="3"/>
      <c r="G43" s="31"/>
      <c r="H43" s="40"/>
      <c r="I43" s="3"/>
      <c r="J43" s="3"/>
      <c r="K43" s="3"/>
      <c r="L43" s="3"/>
      <c r="M43" s="35"/>
      <c r="N43" s="35"/>
      <c r="O43" s="22"/>
      <c r="P43" s="35"/>
      <c r="Q43" s="22"/>
      <c r="R43" s="35"/>
      <c r="S43" s="35"/>
      <c r="T43" s="35"/>
      <c r="U43" s="35"/>
      <c r="V43" s="22"/>
      <c r="W43" s="35"/>
      <c r="X43" s="35"/>
      <c r="Y43" s="3"/>
    </row>
    <row x14ac:dyDescent="0.25" r="44" customHeight="1" ht="19.5">
      <c r="A44" s="41"/>
      <c r="B44" s="42"/>
      <c r="C44" s="22"/>
      <c r="D44" s="3"/>
      <c r="E44" s="39"/>
      <c r="F44" s="3"/>
      <c r="G44" s="31"/>
      <c r="H44" s="40"/>
      <c r="I44" s="3"/>
      <c r="J44" s="3"/>
      <c r="K44" s="3"/>
      <c r="L44" s="3"/>
      <c r="M44" s="35"/>
      <c r="N44" s="35"/>
      <c r="O44" s="22"/>
      <c r="P44" s="35"/>
      <c r="Q44" s="22"/>
      <c r="R44" s="35"/>
      <c r="S44" s="35"/>
      <c r="T44" s="35"/>
      <c r="U44" s="35"/>
      <c r="V44" s="22"/>
      <c r="W44" s="35"/>
      <c r="X44" s="35"/>
      <c r="Y44" s="3"/>
    </row>
    <row x14ac:dyDescent="0.25" r="45" customHeight="1" ht="19.5">
      <c r="A45" s="41"/>
      <c r="B45" s="42"/>
      <c r="C45" s="22"/>
      <c r="D45" s="3"/>
      <c r="E45" s="3"/>
      <c r="F45" s="3"/>
      <c r="G45" s="43"/>
      <c r="H45" s="10"/>
      <c r="I45" s="3"/>
      <c r="J45" s="3"/>
      <c r="K45" s="3"/>
      <c r="L45" s="3"/>
      <c r="M45" s="35"/>
      <c r="N45" s="35"/>
      <c r="O45" s="22"/>
      <c r="P45" s="35"/>
      <c r="Q45" s="22"/>
      <c r="R45" s="35"/>
      <c r="S45" s="35"/>
      <c r="T45" s="35"/>
      <c r="U45" s="35"/>
      <c r="V45" s="22"/>
      <c r="W45" s="35"/>
      <c r="X45" s="35"/>
      <c r="Y45" s="3"/>
    </row>
    <row x14ac:dyDescent="0.25" r="46" customHeight="1" ht="19.5">
      <c r="A46" s="41"/>
      <c r="B46" s="42"/>
      <c r="C46" s="22"/>
      <c r="D46" s="3"/>
      <c r="E46" s="3"/>
      <c r="F46" s="3"/>
      <c r="G46" s="43"/>
      <c r="H46" s="10"/>
      <c r="I46" s="3"/>
      <c r="J46" s="3"/>
      <c r="K46" s="3"/>
      <c r="L46" s="3"/>
      <c r="M46" s="35"/>
      <c r="N46" s="35"/>
      <c r="O46" s="22"/>
      <c r="P46" s="35"/>
      <c r="Q46" s="22"/>
      <c r="R46" s="35"/>
      <c r="S46" s="35"/>
      <c r="T46" s="35"/>
      <c r="U46" s="35"/>
      <c r="V46" s="22"/>
      <c r="W46" s="35"/>
      <c r="X46" s="35"/>
      <c r="Y46" s="3"/>
    </row>
    <row x14ac:dyDescent="0.25" r="47" customHeight="1" ht="19.5">
      <c r="A47" s="41"/>
      <c r="B47" s="42"/>
      <c r="C47" s="22"/>
      <c r="D47" s="3"/>
      <c r="E47" s="3"/>
      <c r="F47" s="3"/>
      <c r="G47" s="43"/>
      <c r="H47" s="10"/>
      <c r="I47" s="3"/>
      <c r="J47" s="3"/>
      <c r="K47" s="3"/>
      <c r="L47" s="3"/>
      <c r="M47" s="35"/>
      <c r="N47" s="35"/>
      <c r="O47" s="22"/>
      <c r="P47" s="35"/>
      <c r="Q47" s="22"/>
      <c r="R47" s="35"/>
      <c r="S47" s="35"/>
      <c r="T47" s="35"/>
      <c r="U47" s="35"/>
      <c r="V47" s="22"/>
      <c r="W47" s="35"/>
      <c r="X47" s="35"/>
      <c r="Y47" s="3"/>
    </row>
    <row x14ac:dyDescent="0.25" r="48" customHeight="1" ht="19.5">
      <c r="A48" s="3"/>
      <c r="B48" s="31"/>
      <c r="C48" s="22"/>
      <c r="D48" s="3"/>
      <c r="E48" s="3"/>
      <c r="F48" s="3"/>
      <c r="G48" s="43"/>
      <c r="H48" s="10"/>
      <c r="I48" s="3"/>
      <c r="J48" s="3"/>
      <c r="K48" s="3"/>
      <c r="L48" s="3"/>
      <c r="M48" s="35"/>
      <c r="N48" s="35"/>
      <c r="O48" s="22"/>
      <c r="P48" s="35"/>
      <c r="Q48" s="22"/>
      <c r="R48" s="35"/>
      <c r="S48" s="35"/>
      <c r="T48" s="35"/>
      <c r="U48" s="35"/>
      <c r="V48" s="22"/>
      <c r="W48" s="35"/>
      <c r="X48" s="35"/>
      <c r="Y48" s="3"/>
    </row>
    <row x14ac:dyDescent="0.25" r="49" customHeight="1" ht="19.5">
      <c r="A49" s="3"/>
      <c r="B49" s="31"/>
      <c r="C49" s="22"/>
      <c r="D49" s="3"/>
      <c r="E49" s="3"/>
      <c r="F49" s="3"/>
      <c r="G49" s="43"/>
      <c r="H49" s="10"/>
      <c r="I49" s="3"/>
      <c r="J49" s="3"/>
      <c r="K49" s="3"/>
      <c r="L49" s="3"/>
      <c r="M49" s="35"/>
      <c r="N49" s="35"/>
      <c r="O49" s="22"/>
      <c r="P49" s="35"/>
      <c r="Q49" s="22"/>
      <c r="R49" s="35"/>
      <c r="S49" s="35"/>
      <c r="T49" s="35"/>
      <c r="U49" s="35"/>
      <c r="V49" s="22"/>
      <c r="W49" s="35"/>
      <c r="X49" s="35"/>
      <c r="Y49" s="3"/>
    </row>
    <row x14ac:dyDescent="0.25" r="50" customHeight="1" ht="19.5">
      <c r="A50" s="3"/>
      <c r="B50" s="31"/>
      <c r="C50" s="22"/>
      <c r="D50" s="3"/>
      <c r="E50" s="3"/>
      <c r="F50" s="3"/>
      <c r="G50" s="43"/>
      <c r="H50" s="10"/>
      <c r="I50" s="3"/>
      <c r="J50" s="3"/>
      <c r="K50" s="3"/>
      <c r="L50" s="3"/>
      <c r="M50" s="35"/>
      <c r="N50" s="35"/>
      <c r="O50" s="22"/>
      <c r="P50" s="35"/>
      <c r="Q50" s="22"/>
      <c r="R50" s="35"/>
      <c r="S50" s="35"/>
      <c r="T50" s="35"/>
      <c r="U50" s="35"/>
      <c r="V50" s="22"/>
      <c r="W50" s="35"/>
      <c r="X50" s="35"/>
      <c r="Y50" s="3"/>
    </row>
    <row x14ac:dyDescent="0.25" r="51" customHeight="1" ht="19.5">
      <c r="A51" s="41"/>
      <c r="B51" s="42"/>
      <c r="C51" s="22"/>
      <c r="D51" s="3"/>
      <c r="E51" s="3"/>
      <c r="F51" s="3"/>
      <c r="G51" s="43"/>
      <c r="H51" s="10"/>
      <c r="I51" s="3"/>
      <c r="J51" s="3"/>
      <c r="K51" s="3"/>
      <c r="L51" s="3"/>
      <c r="M51" s="35"/>
      <c r="N51" s="35"/>
      <c r="O51" s="22"/>
      <c r="P51" s="35"/>
      <c r="Q51" s="22"/>
      <c r="R51" s="35"/>
      <c r="S51" s="35"/>
      <c r="T51" s="35"/>
      <c r="U51" s="35"/>
      <c r="V51" s="22"/>
      <c r="W51" s="35"/>
      <c r="X51" s="35"/>
      <c r="Y51" s="3"/>
    </row>
    <row x14ac:dyDescent="0.25" r="52" customHeight="1" ht="19.5">
      <c r="A52" s="3"/>
      <c r="B52" s="31"/>
      <c r="C52" s="22"/>
      <c r="D52" s="3"/>
      <c r="E52" s="3"/>
      <c r="F52" s="3"/>
      <c r="G52" s="43"/>
      <c r="H52" s="10"/>
      <c r="I52" s="3"/>
      <c r="J52" s="3"/>
      <c r="K52" s="3"/>
      <c r="L52" s="3"/>
      <c r="M52" s="35"/>
      <c r="N52" s="35"/>
      <c r="O52" s="22"/>
      <c r="P52" s="35"/>
      <c r="Q52" s="22"/>
      <c r="R52" s="35"/>
      <c r="S52" s="35"/>
      <c r="T52" s="35"/>
      <c r="U52" s="35"/>
      <c r="V52" s="22"/>
      <c r="W52" s="35"/>
      <c r="X52" s="35"/>
      <c r="Y52" s="3"/>
    </row>
    <row x14ac:dyDescent="0.25" r="53" customHeight="1" ht="19.5">
      <c r="A53" s="3"/>
      <c r="B53" s="31"/>
      <c r="C53" s="22"/>
      <c r="D53" s="3"/>
      <c r="E53" s="3"/>
      <c r="F53" s="3"/>
      <c r="G53" s="43"/>
      <c r="H53" s="10"/>
      <c r="I53" s="3"/>
      <c r="J53" s="3"/>
      <c r="K53" s="3"/>
      <c r="L53" s="3"/>
      <c r="M53" s="35"/>
      <c r="N53" s="35"/>
      <c r="O53" s="22"/>
      <c r="P53" s="35"/>
      <c r="Q53" s="22"/>
      <c r="R53" s="35"/>
      <c r="S53" s="35"/>
      <c r="T53" s="35"/>
      <c r="U53" s="35"/>
      <c r="V53" s="22"/>
      <c r="W53" s="35"/>
      <c r="X53" s="35"/>
      <c r="Y53" s="3"/>
    </row>
    <row x14ac:dyDescent="0.25" r="54" customHeight="1" ht="19.5">
      <c r="A54" s="3"/>
      <c r="B54" s="31"/>
      <c r="C54" s="22"/>
      <c r="D54" s="3"/>
      <c r="E54" s="3"/>
      <c r="F54" s="3"/>
      <c r="G54" s="43"/>
      <c r="H54" s="10"/>
      <c r="I54" s="3"/>
      <c r="J54" s="3"/>
      <c r="K54" s="3"/>
      <c r="L54" s="3"/>
      <c r="M54" s="35"/>
      <c r="N54" s="35"/>
      <c r="O54" s="22"/>
      <c r="P54" s="35"/>
      <c r="Q54" s="22"/>
      <c r="R54" s="35"/>
      <c r="S54" s="35"/>
      <c r="T54" s="35"/>
      <c r="U54" s="35"/>
      <c r="V54" s="22"/>
      <c r="W54" s="35"/>
      <c r="X54" s="35"/>
      <c r="Y54" s="3"/>
    </row>
    <row x14ac:dyDescent="0.25" r="55" customHeight="1" ht="19.5">
      <c r="A55" s="3"/>
      <c r="B55" s="31"/>
      <c r="C55" s="22"/>
      <c r="D55" s="3"/>
      <c r="E55" s="3"/>
      <c r="F55" s="3"/>
      <c r="G55" s="43"/>
      <c r="H55" s="10"/>
      <c r="I55" s="3"/>
      <c r="J55" s="3"/>
      <c r="K55" s="3"/>
      <c r="L55" s="3"/>
      <c r="M55" s="35"/>
      <c r="N55" s="35"/>
      <c r="O55" s="22"/>
      <c r="P55" s="35"/>
      <c r="Q55" s="22"/>
      <c r="R55" s="35"/>
      <c r="S55" s="35"/>
      <c r="T55" s="35"/>
      <c r="U55" s="35"/>
      <c r="V55" s="22"/>
      <c r="W55" s="35"/>
      <c r="X55" s="35"/>
      <c r="Y55" s="3"/>
    </row>
    <row x14ac:dyDescent="0.25" r="56" customHeight="1" ht="19.5">
      <c r="A56" s="3"/>
      <c r="B56" s="31"/>
      <c r="C56" s="22"/>
      <c r="D56" s="3"/>
      <c r="E56" s="3"/>
      <c r="F56" s="3"/>
      <c r="G56" s="43"/>
      <c r="H56" s="10"/>
      <c r="I56" s="3"/>
      <c r="J56" s="3"/>
      <c r="K56" s="3"/>
      <c r="L56" s="3"/>
      <c r="M56" s="35"/>
      <c r="N56" s="35"/>
      <c r="O56" s="22"/>
      <c r="P56" s="35"/>
      <c r="Q56" s="22"/>
      <c r="R56" s="35"/>
      <c r="S56" s="35"/>
      <c r="T56" s="35"/>
      <c r="U56" s="35"/>
      <c r="V56" s="22"/>
      <c r="W56" s="35"/>
      <c r="X56" s="35"/>
      <c r="Y56" s="3"/>
    </row>
    <row x14ac:dyDescent="0.25" r="57" customHeight="1" ht="19.5">
      <c r="A57" s="44"/>
      <c r="B57" s="31"/>
      <c r="C57" s="22"/>
      <c r="D57" s="3"/>
      <c r="E57" s="3"/>
      <c r="F57" s="3"/>
      <c r="G57" s="43"/>
      <c r="H57" s="10"/>
      <c r="I57" s="3"/>
      <c r="J57" s="3"/>
      <c r="K57" s="3"/>
      <c r="L57" s="3"/>
      <c r="M57" s="35"/>
      <c r="N57" s="35"/>
      <c r="O57" s="22"/>
      <c r="P57" s="35"/>
      <c r="Q57" s="22"/>
      <c r="R57" s="35"/>
      <c r="S57" s="35"/>
      <c r="T57" s="35"/>
      <c r="U57" s="35"/>
      <c r="V57" s="22"/>
      <c r="W57" s="35"/>
      <c r="X57" s="35"/>
      <c r="Y57" s="3"/>
    </row>
    <row x14ac:dyDescent="0.25" r="58" customHeight="1" ht="19.5">
      <c r="A58" s="3"/>
      <c r="B58" s="31"/>
      <c r="C58" s="22"/>
      <c r="D58" s="3"/>
      <c r="E58" s="3"/>
      <c r="F58" s="3"/>
      <c r="G58" s="43"/>
      <c r="H58" s="10"/>
      <c r="I58" s="3"/>
      <c r="J58" s="3"/>
      <c r="K58" s="3"/>
      <c r="L58" s="3"/>
      <c r="M58" s="35"/>
      <c r="N58" s="35"/>
      <c r="O58" s="22"/>
      <c r="P58" s="35"/>
      <c r="Q58" s="22"/>
      <c r="R58" s="35"/>
      <c r="S58" s="35"/>
      <c r="T58" s="35"/>
      <c r="U58" s="35"/>
      <c r="V58" s="22"/>
      <c r="W58" s="35"/>
      <c r="X58" s="35"/>
      <c r="Y58" s="3"/>
    </row>
    <row x14ac:dyDescent="0.25" r="59" customHeight="1" ht="19.5">
      <c r="A59" s="3"/>
      <c r="B59" s="31"/>
      <c r="C59" s="22"/>
      <c r="D59" s="3"/>
      <c r="E59" s="3"/>
      <c r="F59" s="3"/>
      <c r="G59" s="31"/>
      <c r="H59" s="3"/>
      <c r="I59" s="3"/>
      <c r="J59" s="3"/>
      <c r="K59" s="3"/>
      <c r="L59" s="3"/>
      <c r="M59" s="35"/>
      <c r="N59" s="35"/>
      <c r="O59" s="22"/>
      <c r="P59" s="35"/>
      <c r="Q59" s="22"/>
      <c r="R59" s="35"/>
      <c r="S59" s="35"/>
      <c r="T59" s="35"/>
      <c r="U59" s="35"/>
      <c r="V59" s="22"/>
      <c r="W59" s="35"/>
      <c r="X59" s="35"/>
      <c r="Y59" s="3"/>
    </row>
    <row x14ac:dyDescent="0.25" r="60" customHeight="1" ht="19.5">
      <c r="A60" s="3"/>
      <c r="B60" s="31"/>
      <c r="C60" s="22"/>
      <c r="D60" s="3"/>
      <c r="E60" s="3"/>
      <c r="F60" s="3"/>
      <c r="G60" s="31"/>
      <c r="H60" s="3"/>
      <c r="I60" s="3"/>
      <c r="J60" s="3"/>
      <c r="K60" s="3"/>
      <c r="L60" s="3"/>
      <c r="M60" s="35"/>
      <c r="N60" s="35"/>
      <c r="O60" s="22"/>
      <c r="P60" s="35"/>
      <c r="Q60" s="22"/>
      <c r="R60" s="35"/>
      <c r="S60" s="35"/>
      <c r="T60" s="35"/>
      <c r="U60" s="35"/>
      <c r="V60" s="22"/>
      <c r="W60" s="35"/>
      <c r="X60" s="35"/>
      <c r="Y60" s="3"/>
    </row>
    <row x14ac:dyDescent="0.25" r="61" customHeight="1" ht="19.5">
      <c r="A61" s="3"/>
      <c r="B61" s="31"/>
      <c r="C61" s="10"/>
      <c r="D61" s="3"/>
      <c r="E61" s="3"/>
      <c r="F61" s="3"/>
      <c r="G61" s="31"/>
      <c r="H61" s="3"/>
      <c r="I61" s="3"/>
      <c r="J61" s="3"/>
      <c r="K61" s="3"/>
      <c r="L61" s="3"/>
      <c r="M61" s="35"/>
      <c r="N61" s="35"/>
      <c r="O61" s="22"/>
      <c r="P61" s="35"/>
      <c r="Q61" s="22"/>
      <c r="R61" s="35"/>
      <c r="S61" s="35"/>
      <c r="T61" s="35"/>
      <c r="U61" s="35"/>
      <c r="V61" s="22"/>
      <c r="W61" s="35"/>
      <c r="X61" s="35"/>
      <c r="Y61" s="3"/>
    </row>
    <row x14ac:dyDescent="0.25" r="62" customHeight="1" ht="19.5">
      <c r="A62" s="3"/>
      <c r="B62" s="31"/>
      <c r="C62" s="10"/>
      <c r="D62" s="3"/>
      <c r="E62" s="3"/>
      <c r="F62" s="3"/>
      <c r="G62" s="31"/>
      <c r="H62" s="3"/>
      <c r="I62" s="3"/>
      <c r="J62" s="3"/>
      <c r="K62" s="3"/>
      <c r="L62" s="3"/>
      <c r="M62" s="35"/>
      <c r="N62" s="35"/>
      <c r="O62" s="22"/>
      <c r="P62" s="35"/>
      <c r="Q62" s="22"/>
      <c r="R62" s="35"/>
      <c r="S62" s="35"/>
      <c r="T62" s="35"/>
      <c r="U62" s="35"/>
      <c r="V62" s="22"/>
      <c r="W62" s="35"/>
      <c r="X62" s="35"/>
      <c r="Y62" s="3"/>
    </row>
    <row x14ac:dyDescent="0.25" r="63" customHeight="1" ht="19.5">
      <c r="A63" s="3"/>
      <c r="B63" s="31"/>
      <c r="C63" s="10"/>
      <c r="D63" s="3"/>
      <c r="E63" s="3"/>
      <c r="F63" s="3"/>
      <c r="G63" s="31"/>
      <c r="H63" s="3"/>
      <c r="I63" s="3"/>
      <c r="J63" s="3"/>
      <c r="K63" s="3"/>
      <c r="L63" s="3"/>
      <c r="M63" s="35"/>
      <c r="N63" s="35"/>
      <c r="O63" s="22"/>
      <c r="P63" s="35"/>
      <c r="Q63" s="22"/>
      <c r="R63" s="35"/>
      <c r="S63" s="35"/>
      <c r="T63" s="35"/>
      <c r="U63" s="35"/>
      <c r="V63" s="22"/>
      <c r="W63" s="35"/>
      <c r="X63" s="35"/>
      <c r="Y63" s="3"/>
    </row>
    <row x14ac:dyDescent="0.25" r="64" customHeight="1" ht="19.5">
      <c r="A64" s="3"/>
      <c r="B64" s="31"/>
      <c r="C64" s="10"/>
      <c r="D64" s="3"/>
      <c r="E64" s="3"/>
      <c r="F64" s="3"/>
      <c r="G64" s="31"/>
      <c r="H64" s="3"/>
      <c r="I64" s="3"/>
      <c r="J64" s="3"/>
      <c r="K64" s="3"/>
      <c r="L64" s="3"/>
      <c r="M64" s="35"/>
      <c r="N64" s="35"/>
      <c r="O64" s="22"/>
      <c r="P64" s="35"/>
      <c r="Q64" s="22"/>
      <c r="R64" s="35"/>
      <c r="S64" s="35"/>
      <c r="T64" s="35"/>
      <c r="U64" s="35"/>
      <c r="V64" s="22"/>
      <c r="W64" s="35"/>
      <c r="X64" s="35"/>
      <c r="Y64" s="3"/>
    </row>
    <row x14ac:dyDescent="0.25" r="65" customHeight="1" ht="19.5">
      <c r="A65" s="3"/>
      <c r="B65" s="31"/>
      <c r="C65" s="10"/>
      <c r="D65" s="3"/>
      <c r="E65" s="3"/>
      <c r="F65" s="3"/>
      <c r="G65" s="31"/>
      <c r="H65" s="10"/>
      <c r="I65" s="3"/>
      <c r="J65" s="3"/>
      <c r="K65" s="3"/>
      <c r="L65" s="3"/>
      <c r="M65" s="35"/>
      <c r="N65" s="35"/>
      <c r="O65" s="22"/>
      <c r="P65" s="35"/>
      <c r="Q65" s="22"/>
      <c r="R65" s="35"/>
      <c r="S65" s="35"/>
      <c r="T65" s="35"/>
      <c r="U65" s="35"/>
      <c r="V65" s="22"/>
      <c r="W65" s="35"/>
      <c r="X65" s="35"/>
      <c r="Y65" s="3"/>
    </row>
    <row x14ac:dyDescent="0.25" r="66" customHeight="1" ht="19.5">
      <c r="A66" s="3"/>
      <c r="B66" s="31"/>
      <c r="C66" s="10"/>
      <c r="D66" s="3"/>
      <c r="E66" s="3"/>
      <c r="F66" s="3"/>
      <c r="G66" s="31"/>
      <c r="H66" s="10"/>
      <c r="I66" s="3"/>
      <c r="J66" s="3"/>
      <c r="K66" s="3"/>
      <c r="L66" s="3"/>
      <c r="M66" s="35"/>
      <c r="N66" s="35"/>
      <c r="O66" s="22"/>
      <c r="P66" s="35"/>
      <c r="Q66" s="22"/>
      <c r="R66" s="35"/>
      <c r="S66" s="35"/>
      <c r="T66" s="35"/>
      <c r="U66" s="35"/>
      <c r="V66" s="22"/>
      <c r="W66" s="35"/>
      <c r="X66" s="35"/>
      <c r="Y66" s="3"/>
    </row>
    <row x14ac:dyDescent="0.25" r="67" customHeight="1" ht="19.5">
      <c r="A67" s="3"/>
      <c r="B67" s="31"/>
      <c r="C67" s="10"/>
      <c r="D67" s="3"/>
      <c r="E67" s="3"/>
      <c r="F67" s="3"/>
      <c r="G67" s="31"/>
      <c r="H67" s="3"/>
      <c r="I67" s="3"/>
      <c r="J67" s="3"/>
      <c r="K67" s="3"/>
      <c r="L67" s="3"/>
      <c r="M67" s="35"/>
      <c r="N67" s="35"/>
      <c r="O67" s="22"/>
      <c r="P67" s="35"/>
      <c r="Q67" s="22"/>
      <c r="R67" s="35"/>
      <c r="S67" s="35"/>
      <c r="T67" s="35"/>
      <c r="U67" s="35"/>
      <c r="V67" s="22"/>
      <c r="W67" s="35"/>
      <c r="X67" s="35"/>
      <c r="Y67" s="3"/>
    </row>
    <row x14ac:dyDescent="0.25" r="68" customHeight="1" ht="19.5">
      <c r="A68" s="3"/>
      <c r="B68" s="31"/>
      <c r="C68" s="10"/>
      <c r="D68" s="3"/>
      <c r="E68" s="3"/>
      <c r="F68" s="3"/>
      <c r="G68" s="31"/>
      <c r="H68" s="3"/>
      <c r="I68" s="3"/>
      <c r="J68" s="3"/>
      <c r="K68" s="3"/>
      <c r="L68" s="3"/>
      <c r="M68" s="35"/>
      <c r="N68" s="35"/>
      <c r="O68" s="22"/>
      <c r="P68" s="35"/>
      <c r="Q68" s="22"/>
      <c r="R68" s="35"/>
      <c r="S68" s="35"/>
      <c r="T68" s="35"/>
      <c r="U68" s="35"/>
      <c r="V68" s="22"/>
      <c r="W68" s="35"/>
      <c r="X68" s="35"/>
      <c r="Y68" s="3"/>
    </row>
    <row x14ac:dyDescent="0.25" r="69" customHeight="1" ht="19.5">
      <c r="A69" s="3"/>
      <c r="B69" s="31"/>
      <c r="C69" s="10"/>
      <c r="D69" s="3"/>
      <c r="E69" s="3"/>
      <c r="F69" s="3"/>
      <c r="G69" s="31"/>
      <c r="H69" s="3"/>
      <c r="I69" s="3"/>
      <c r="J69" s="3"/>
      <c r="K69" s="3"/>
      <c r="L69" s="3"/>
      <c r="M69" s="35"/>
      <c r="N69" s="35"/>
      <c r="O69" s="22"/>
      <c r="P69" s="35"/>
      <c r="Q69" s="22"/>
      <c r="R69" s="35"/>
      <c r="S69" s="35"/>
      <c r="T69" s="35"/>
      <c r="U69" s="35"/>
      <c r="V69" s="22"/>
      <c r="W69" s="35"/>
      <c r="X69" s="35"/>
      <c r="Y69" s="3"/>
    </row>
    <row x14ac:dyDescent="0.25" r="70" customHeight="1" ht="19.5">
      <c r="A70" s="3"/>
      <c r="B70" s="31"/>
      <c r="C70" s="10"/>
      <c r="D70" s="3"/>
      <c r="E70" s="3"/>
      <c r="F70" s="3"/>
      <c r="G70" s="31"/>
      <c r="H70" s="3"/>
      <c r="I70" s="3"/>
      <c r="J70" s="3"/>
      <c r="K70" s="3"/>
      <c r="L70" s="3"/>
      <c r="M70" s="35"/>
      <c r="N70" s="35"/>
      <c r="O70" s="22"/>
      <c r="P70" s="35"/>
      <c r="Q70" s="22"/>
      <c r="R70" s="35"/>
      <c r="S70" s="35"/>
      <c r="T70" s="35"/>
      <c r="U70" s="35"/>
      <c r="V70" s="22"/>
      <c r="W70" s="35"/>
      <c r="X70" s="35"/>
      <c r="Y70" s="3"/>
    </row>
    <row x14ac:dyDescent="0.25" r="71" customHeight="1" ht="19.5">
      <c r="A71" s="3"/>
      <c r="B71" s="31"/>
      <c r="C71" s="10"/>
      <c r="D71" s="3"/>
      <c r="E71" s="3"/>
      <c r="F71" s="3"/>
      <c r="G71" s="31"/>
      <c r="H71" s="3"/>
      <c r="I71" s="3"/>
      <c r="J71" s="3"/>
      <c r="K71" s="3"/>
      <c r="L71" s="3"/>
      <c r="M71" s="35"/>
      <c r="N71" s="35"/>
      <c r="O71" s="22"/>
      <c r="P71" s="35"/>
      <c r="Q71" s="22"/>
      <c r="R71" s="35"/>
      <c r="S71" s="35"/>
      <c r="T71" s="35"/>
      <c r="U71" s="35"/>
      <c r="V71" s="22"/>
      <c r="W71" s="35"/>
      <c r="X71" s="35"/>
      <c r="Y71" s="3"/>
    </row>
    <row x14ac:dyDescent="0.25" r="72" customHeight="1" ht="19.5">
      <c r="A72" s="3"/>
      <c r="B72" s="31"/>
      <c r="C72" s="10"/>
      <c r="D72" s="3"/>
      <c r="E72" s="3"/>
      <c r="F72" s="3"/>
      <c r="G72" s="31"/>
      <c r="H72" s="3"/>
      <c r="I72" s="3"/>
      <c r="J72" s="3"/>
      <c r="K72" s="3"/>
      <c r="L72" s="3"/>
      <c r="M72" s="35"/>
      <c r="N72" s="35"/>
      <c r="O72" s="22"/>
      <c r="P72" s="35"/>
      <c r="Q72" s="22"/>
      <c r="R72" s="35"/>
      <c r="S72" s="35"/>
      <c r="T72" s="35"/>
      <c r="U72" s="35"/>
      <c r="V72" s="22"/>
      <c r="W72" s="35"/>
      <c r="X72" s="35"/>
      <c r="Y72" s="3"/>
    </row>
    <row x14ac:dyDescent="0.25" r="73" customHeight="1" ht="19.5">
      <c r="A73" s="3"/>
      <c r="B73" s="31"/>
      <c r="C73" s="10"/>
      <c r="D73" s="3"/>
      <c r="E73" s="3"/>
      <c r="F73" s="3"/>
      <c r="G73" s="31"/>
      <c r="H73" s="10"/>
      <c r="I73" s="3"/>
      <c r="J73" s="3"/>
      <c r="K73" s="3"/>
      <c r="L73" s="3"/>
      <c r="M73" s="35"/>
      <c r="N73" s="35"/>
      <c r="O73" s="22"/>
      <c r="P73" s="35"/>
      <c r="Q73" s="22"/>
      <c r="R73" s="35"/>
      <c r="S73" s="35"/>
      <c r="T73" s="35"/>
      <c r="U73" s="35"/>
      <c r="V73" s="22"/>
      <c r="W73" s="35"/>
      <c r="X73" s="35"/>
      <c r="Y73" s="3"/>
    </row>
    <row x14ac:dyDescent="0.25" r="74" customHeight="1" ht="19.5">
      <c r="A74" s="3"/>
      <c r="B74" s="31"/>
      <c r="C74" s="10"/>
      <c r="D74" s="3"/>
      <c r="E74" s="3"/>
      <c r="F74" s="3"/>
      <c r="G74" s="31"/>
      <c r="H74" s="3"/>
      <c r="I74" s="3"/>
      <c r="J74" s="3"/>
      <c r="K74" s="3"/>
      <c r="L74" s="3"/>
      <c r="M74" s="35"/>
      <c r="N74" s="35"/>
      <c r="O74" s="22"/>
      <c r="P74" s="35"/>
      <c r="Q74" s="22"/>
      <c r="R74" s="35"/>
      <c r="S74" s="35"/>
      <c r="T74" s="35"/>
      <c r="U74" s="35"/>
      <c r="V74" s="22"/>
      <c r="W74" s="35"/>
      <c r="X74" s="35"/>
      <c r="Y74" s="3"/>
    </row>
    <row x14ac:dyDescent="0.25" r="75" customHeight="1" ht="19.5">
      <c r="A75" s="3"/>
      <c r="B75" s="31"/>
      <c r="C75" s="10"/>
      <c r="D75" s="3"/>
      <c r="E75" s="3"/>
      <c r="F75" s="3"/>
      <c r="G75" s="31"/>
      <c r="H75" s="3"/>
      <c r="I75" s="3"/>
      <c r="J75" s="3"/>
      <c r="K75" s="3"/>
      <c r="L75" s="3"/>
      <c r="M75" s="35"/>
      <c r="N75" s="35"/>
      <c r="O75" s="22"/>
      <c r="P75" s="35"/>
      <c r="Q75" s="22"/>
      <c r="R75" s="35"/>
      <c r="S75" s="35"/>
      <c r="T75" s="35"/>
      <c r="U75" s="35"/>
      <c r="V75" s="22"/>
      <c r="W75" s="35"/>
      <c r="X75" s="35"/>
      <c r="Y75" s="3"/>
    </row>
    <row x14ac:dyDescent="0.25" r="76" customHeight="1" ht="19.5">
      <c r="A76" s="3"/>
      <c r="B76" s="31"/>
      <c r="C76" s="10"/>
      <c r="D76" s="3"/>
      <c r="E76" s="3"/>
      <c r="F76" s="3"/>
      <c r="G76" s="31"/>
      <c r="H76" s="10"/>
      <c r="I76" s="3"/>
      <c r="J76" s="3"/>
      <c r="K76" s="3"/>
      <c r="L76" s="3"/>
      <c r="M76" s="35"/>
      <c r="N76" s="35"/>
      <c r="O76" s="22"/>
      <c r="P76" s="35"/>
      <c r="Q76" s="22"/>
      <c r="R76" s="35"/>
      <c r="S76" s="35"/>
      <c r="T76" s="35"/>
      <c r="U76" s="35"/>
      <c r="V76" s="22"/>
      <c r="W76" s="35"/>
      <c r="X76" s="35"/>
      <c r="Y76" s="3"/>
    </row>
    <row x14ac:dyDescent="0.25" r="77" customHeight="1" ht="19.5">
      <c r="A77" s="3"/>
      <c r="B77" s="31"/>
      <c r="C77" s="10"/>
      <c r="D77" s="3"/>
      <c r="E77" s="3"/>
      <c r="F77" s="3"/>
      <c r="G77" s="31"/>
      <c r="H77" s="10"/>
      <c r="I77" s="3"/>
      <c r="J77" s="3"/>
      <c r="K77" s="3"/>
      <c r="L77" s="3"/>
      <c r="M77" s="35"/>
      <c r="N77" s="35"/>
      <c r="O77" s="22"/>
      <c r="P77" s="35"/>
      <c r="Q77" s="22"/>
      <c r="R77" s="35"/>
      <c r="S77" s="35"/>
      <c r="T77" s="35"/>
      <c r="U77" s="35"/>
      <c r="V77" s="22"/>
      <c r="W77" s="35"/>
      <c r="X77" s="35"/>
      <c r="Y77" s="3"/>
    </row>
    <row x14ac:dyDescent="0.25" r="78" customHeight="1" ht="19.5">
      <c r="A78" s="3"/>
      <c r="B78" s="31"/>
      <c r="C78" s="22"/>
      <c r="D78" s="3"/>
      <c r="E78" s="3"/>
      <c r="F78" s="3"/>
      <c r="G78" s="31"/>
      <c r="H78" s="10"/>
      <c r="I78" s="3"/>
      <c r="J78" s="3"/>
      <c r="K78" s="3"/>
      <c r="L78" s="3"/>
      <c r="M78" s="35"/>
      <c r="N78" s="35"/>
      <c r="O78" s="22"/>
      <c r="P78" s="35"/>
      <c r="Q78" s="22"/>
      <c r="R78" s="35"/>
      <c r="S78" s="35"/>
      <c r="T78" s="35"/>
      <c r="U78" s="35"/>
      <c r="V78" s="22"/>
      <c r="W78" s="35"/>
      <c r="X78" s="35"/>
      <c r="Y78" s="3"/>
    </row>
    <row x14ac:dyDescent="0.25" r="79" customHeight="1" ht="19.5">
      <c r="A79" s="3"/>
      <c r="B79" s="31"/>
      <c r="C79" s="22"/>
      <c r="D79" s="3"/>
      <c r="E79" s="3"/>
      <c r="F79" s="3"/>
      <c r="G79" s="31"/>
      <c r="H79" s="10"/>
      <c r="I79" s="3"/>
      <c r="J79" s="3"/>
      <c r="K79" s="3"/>
      <c r="L79" s="3"/>
      <c r="M79" s="35"/>
      <c r="N79" s="35"/>
      <c r="O79" s="22"/>
      <c r="P79" s="35"/>
      <c r="Q79" s="22"/>
      <c r="R79" s="35"/>
      <c r="S79" s="35"/>
      <c r="T79" s="35"/>
      <c r="U79" s="35"/>
      <c r="V79" s="22"/>
      <c r="W79" s="35"/>
      <c r="X79" s="35"/>
      <c r="Y79" s="3"/>
    </row>
    <row x14ac:dyDescent="0.25" r="80" customHeight="1" ht="19.5">
      <c r="A80" s="3"/>
      <c r="B80" s="31"/>
      <c r="C80" s="22"/>
      <c r="D80" s="3"/>
      <c r="E80" s="3"/>
      <c r="F80" s="3"/>
      <c r="G80" s="31"/>
      <c r="H80" s="10"/>
      <c r="I80" s="3"/>
      <c r="J80" s="3"/>
      <c r="K80" s="3"/>
      <c r="L80" s="3"/>
      <c r="M80" s="35"/>
      <c r="N80" s="35"/>
      <c r="O80" s="22"/>
      <c r="P80" s="35"/>
      <c r="Q80" s="22"/>
      <c r="R80" s="35"/>
      <c r="S80" s="35"/>
      <c r="T80" s="35"/>
      <c r="U80" s="35"/>
      <c r="V80" s="22"/>
      <c r="W80" s="35"/>
      <c r="X80" s="35"/>
      <c r="Y80" s="3"/>
    </row>
    <row x14ac:dyDescent="0.25" r="81" customHeight="1" ht="19.5">
      <c r="A81" s="3"/>
      <c r="B81" s="31"/>
      <c r="C81" s="22"/>
      <c r="D81" s="3"/>
      <c r="E81" s="3"/>
      <c r="F81" s="3"/>
      <c r="G81" s="31"/>
      <c r="H81" s="10"/>
      <c r="I81" s="3"/>
      <c r="J81" s="3"/>
      <c r="K81" s="3"/>
      <c r="L81" s="3"/>
      <c r="M81" s="35"/>
      <c r="N81" s="35"/>
      <c r="O81" s="22"/>
      <c r="P81" s="35"/>
      <c r="Q81" s="22"/>
      <c r="R81" s="35"/>
      <c r="S81" s="35"/>
      <c r="T81" s="35"/>
      <c r="U81" s="35"/>
      <c r="V81" s="22"/>
      <c r="W81" s="35"/>
      <c r="X81" s="35"/>
      <c r="Y81" s="3"/>
    </row>
    <row x14ac:dyDescent="0.25" r="82" customHeight="1" ht="19.5">
      <c r="A82" s="3"/>
      <c r="B82" s="31"/>
      <c r="C82" s="22"/>
      <c r="D82" s="3"/>
      <c r="E82" s="3"/>
      <c r="F82" s="3"/>
      <c r="G82" s="31"/>
      <c r="H82" s="10"/>
      <c r="I82" s="3"/>
      <c r="J82" s="3"/>
      <c r="K82" s="3"/>
      <c r="L82" s="3"/>
      <c r="M82" s="35"/>
      <c r="N82" s="35"/>
      <c r="O82" s="22"/>
      <c r="P82" s="35"/>
      <c r="Q82" s="22"/>
      <c r="R82" s="35"/>
      <c r="S82" s="35"/>
      <c r="T82" s="35"/>
      <c r="U82" s="35"/>
      <c r="V82" s="22"/>
      <c r="W82" s="35"/>
      <c r="X82" s="35"/>
      <c r="Y82" s="3"/>
    </row>
    <row x14ac:dyDescent="0.25" r="83" customHeight="1" ht="19.5">
      <c r="A83" s="3"/>
      <c r="B83" s="31"/>
      <c r="C83" s="22"/>
      <c r="D83" s="3"/>
      <c r="E83" s="3"/>
      <c r="F83" s="3"/>
      <c r="G83" s="31"/>
      <c r="H83" s="10"/>
      <c r="I83" s="3"/>
      <c r="J83" s="3"/>
      <c r="K83" s="3"/>
      <c r="L83" s="3"/>
      <c r="M83" s="35"/>
      <c r="N83" s="35"/>
      <c r="O83" s="22"/>
      <c r="P83" s="35"/>
      <c r="Q83" s="22"/>
      <c r="R83" s="35"/>
      <c r="S83" s="35"/>
      <c r="T83" s="35"/>
      <c r="U83" s="35"/>
      <c r="V83" s="22"/>
      <c r="W83" s="35"/>
      <c r="X83" s="35"/>
      <c r="Y83" s="3"/>
    </row>
    <row x14ac:dyDescent="0.25" r="84" customHeight="1" ht="19.5">
      <c r="A84" s="3"/>
      <c r="B84" s="31"/>
      <c r="C84" s="22"/>
      <c r="D84" s="3"/>
      <c r="E84" s="3"/>
      <c r="F84" s="3"/>
      <c r="G84" s="31"/>
      <c r="H84" s="10"/>
      <c r="I84" s="3"/>
      <c r="J84" s="3"/>
      <c r="K84" s="3"/>
      <c r="L84" s="3"/>
      <c r="M84" s="35"/>
      <c r="N84" s="35"/>
      <c r="O84" s="22"/>
      <c r="P84" s="35"/>
      <c r="Q84" s="22"/>
      <c r="R84" s="35"/>
      <c r="S84" s="35"/>
      <c r="T84" s="35"/>
      <c r="U84" s="35"/>
      <c r="V84" s="22"/>
      <c r="W84" s="35"/>
      <c r="X84" s="35"/>
      <c r="Y84" s="3"/>
    </row>
    <row x14ac:dyDescent="0.25" r="85" customHeight="1" ht="19.5">
      <c r="A85" s="3"/>
      <c r="B85" s="31"/>
      <c r="C85" s="22"/>
      <c r="D85" s="3"/>
      <c r="E85" s="3"/>
      <c r="F85" s="31"/>
      <c r="G85" s="31"/>
      <c r="H85" s="10"/>
      <c r="I85" s="3"/>
      <c r="J85" s="3"/>
      <c r="K85" s="3"/>
      <c r="L85" s="3"/>
      <c r="M85" s="35"/>
      <c r="N85" s="35"/>
      <c r="O85" s="22"/>
      <c r="P85" s="35"/>
      <c r="Q85" s="22"/>
      <c r="R85" s="35"/>
      <c r="S85" s="35"/>
      <c r="T85" s="35"/>
      <c r="U85" s="35"/>
      <c r="V85" s="22"/>
      <c r="W85" s="35"/>
      <c r="X85" s="35"/>
      <c r="Y85" s="3"/>
    </row>
    <row x14ac:dyDescent="0.25" r="86" customHeight="1" ht="19.5">
      <c r="A86" s="3"/>
      <c r="B86" s="31"/>
      <c r="C86" s="45"/>
      <c r="D86" s="3"/>
      <c r="E86" s="3"/>
      <c r="F86" s="3"/>
      <c r="G86" s="31"/>
      <c r="H86" s="10"/>
      <c r="I86" s="3"/>
      <c r="J86" s="3"/>
      <c r="K86" s="3"/>
      <c r="L86" s="3"/>
      <c r="M86" s="35"/>
      <c r="N86" s="35"/>
      <c r="O86" s="22"/>
      <c r="P86" s="35"/>
      <c r="Q86" s="22"/>
      <c r="R86" s="35"/>
      <c r="S86" s="35"/>
      <c r="T86" s="35"/>
      <c r="U86" s="35"/>
      <c r="V86" s="22"/>
      <c r="W86" s="35"/>
      <c r="X86" s="35"/>
      <c r="Y86" s="3"/>
    </row>
    <row x14ac:dyDescent="0.25" r="87" customHeight="1" ht="19.5">
      <c r="A87" s="3"/>
      <c r="B87" s="31"/>
      <c r="C87" s="10"/>
      <c r="D87" s="3"/>
      <c r="E87" s="3"/>
      <c r="F87" s="3"/>
      <c r="G87" s="31"/>
      <c r="H87" s="10"/>
      <c r="I87" s="3"/>
      <c r="J87" s="3"/>
      <c r="K87" s="3"/>
      <c r="L87" s="3"/>
      <c r="M87" s="35"/>
      <c r="N87" s="35"/>
      <c r="O87" s="22"/>
      <c r="P87" s="35"/>
      <c r="Q87" s="22"/>
      <c r="R87" s="35"/>
      <c r="S87" s="35"/>
      <c r="T87" s="35"/>
      <c r="U87" s="35"/>
      <c r="V87" s="22"/>
      <c r="W87" s="35"/>
      <c r="X87" s="35"/>
      <c r="Y87" s="3"/>
    </row>
    <row x14ac:dyDescent="0.25" r="88" customHeight="1" ht="19.5">
      <c r="A88" s="3"/>
      <c r="B88" s="31"/>
      <c r="C88" s="10"/>
      <c r="D88" s="3"/>
      <c r="E88" s="3"/>
      <c r="F88" s="3"/>
      <c r="G88" s="31"/>
      <c r="H88" s="38"/>
      <c r="I88" s="3"/>
      <c r="J88" s="3"/>
      <c r="K88" s="3"/>
      <c r="L88" s="3"/>
      <c r="M88" s="35"/>
      <c r="N88" s="35"/>
      <c r="O88" s="22"/>
      <c r="P88" s="35"/>
      <c r="Q88" s="22"/>
      <c r="R88" s="35"/>
      <c r="S88" s="35"/>
      <c r="T88" s="35"/>
      <c r="U88" s="35"/>
      <c r="V88" s="22"/>
      <c r="W88" s="35"/>
      <c r="X88" s="35"/>
      <c r="Y88" s="3"/>
    </row>
    <row x14ac:dyDescent="0.25" r="89" customHeight="1" ht="19.5">
      <c r="A89" s="3"/>
      <c r="B89" s="31"/>
      <c r="C89" s="10"/>
      <c r="D89" s="3"/>
      <c r="E89" s="3"/>
      <c r="F89" s="3"/>
      <c r="G89" s="31"/>
      <c r="H89" s="38"/>
      <c r="I89" s="3"/>
      <c r="J89" s="3"/>
      <c r="K89" s="3"/>
      <c r="L89" s="3"/>
      <c r="M89" s="35"/>
      <c r="N89" s="35"/>
      <c r="O89" s="22"/>
      <c r="P89" s="35"/>
      <c r="Q89" s="22"/>
      <c r="R89" s="35"/>
      <c r="S89" s="35"/>
      <c r="T89" s="35"/>
      <c r="U89" s="35"/>
      <c r="V89" s="22"/>
      <c r="W89" s="35"/>
      <c r="X89" s="35"/>
      <c r="Y89" s="3"/>
    </row>
    <row x14ac:dyDescent="0.25" r="90" customHeight="1" ht="19.5">
      <c r="A90" s="3"/>
      <c r="B90" s="31"/>
      <c r="C90" s="10"/>
      <c r="D90" s="3"/>
      <c r="E90" s="3"/>
      <c r="F90" s="3"/>
      <c r="G90" s="31"/>
      <c r="H90" s="10"/>
      <c r="I90" s="3"/>
      <c r="J90" s="3"/>
      <c r="K90" s="3"/>
      <c r="L90" s="3"/>
      <c r="M90" s="35"/>
      <c r="N90" s="35"/>
      <c r="O90" s="22"/>
      <c r="P90" s="35"/>
      <c r="Q90" s="22"/>
      <c r="R90" s="35"/>
      <c r="S90" s="35"/>
      <c r="T90" s="35"/>
      <c r="U90" s="35"/>
      <c r="V90" s="22"/>
      <c r="W90" s="35"/>
      <c r="X90" s="35"/>
      <c r="Y90" s="3"/>
    </row>
    <row x14ac:dyDescent="0.25" r="91" customHeight="1" ht="19.5">
      <c r="A91" s="3"/>
      <c r="B91" s="31"/>
      <c r="C91" s="10"/>
      <c r="D91" s="3"/>
      <c r="E91" s="3"/>
      <c r="F91" s="3"/>
      <c r="G91" s="31"/>
      <c r="H91" s="10"/>
      <c r="I91" s="3"/>
      <c r="J91" s="3"/>
      <c r="K91" s="3"/>
      <c r="L91" s="3"/>
      <c r="M91" s="35"/>
      <c r="N91" s="35"/>
      <c r="O91" s="22"/>
      <c r="P91" s="35"/>
      <c r="Q91" s="22"/>
      <c r="R91" s="35"/>
      <c r="S91" s="35"/>
      <c r="T91" s="35"/>
      <c r="U91" s="35"/>
      <c r="V91" s="22"/>
      <c r="W91" s="35"/>
      <c r="X91" s="35"/>
      <c r="Y91" s="3"/>
    </row>
    <row x14ac:dyDescent="0.25" r="92" customHeight="1" ht="19.5">
      <c r="A92" s="3"/>
      <c r="B92" s="31"/>
      <c r="C92" s="10"/>
      <c r="D92" s="3"/>
      <c r="E92" s="3"/>
      <c r="F92" s="3"/>
      <c r="G92" s="31"/>
      <c r="H92" s="10"/>
      <c r="I92" s="3"/>
      <c r="J92" s="3"/>
      <c r="K92" s="3"/>
      <c r="L92" s="3"/>
      <c r="M92" s="35"/>
      <c r="N92" s="35"/>
      <c r="O92" s="22"/>
      <c r="P92" s="35"/>
      <c r="Q92" s="22"/>
      <c r="R92" s="35"/>
      <c r="S92" s="35"/>
      <c r="T92" s="35"/>
      <c r="U92" s="35"/>
      <c r="V92" s="22"/>
      <c r="W92" s="35"/>
      <c r="X92" s="35"/>
      <c r="Y92" s="3"/>
    </row>
    <row x14ac:dyDescent="0.25" r="93" customHeight="1" ht="19.5">
      <c r="A93" s="3"/>
      <c r="B93" s="31"/>
      <c r="C93" s="10"/>
      <c r="D93" s="3"/>
      <c r="E93" s="3"/>
      <c r="F93" s="3"/>
      <c r="G93" s="31"/>
      <c r="H93" s="10"/>
      <c r="I93" s="3"/>
      <c r="J93" s="3"/>
      <c r="K93" s="3"/>
      <c r="L93" s="3"/>
      <c r="M93" s="35"/>
      <c r="N93" s="35"/>
      <c r="O93" s="22"/>
      <c r="P93" s="35"/>
      <c r="Q93" s="22"/>
      <c r="R93" s="35"/>
      <c r="S93" s="35"/>
      <c r="T93" s="35"/>
      <c r="U93" s="35"/>
      <c r="V93" s="22"/>
      <c r="W93" s="35"/>
      <c r="X93" s="35"/>
      <c r="Y93" s="3"/>
    </row>
    <row x14ac:dyDescent="0.25" r="94" customHeight="1" ht="19.5">
      <c r="A94" s="3"/>
      <c r="B94" s="31"/>
      <c r="C94" s="10"/>
      <c r="D94" s="3"/>
      <c r="E94" s="3"/>
      <c r="F94" s="3"/>
      <c r="G94" s="31"/>
      <c r="H94" s="10"/>
      <c r="I94" s="3"/>
      <c r="J94" s="3"/>
      <c r="K94" s="3"/>
      <c r="L94" s="3"/>
      <c r="M94" s="35"/>
      <c r="N94" s="35"/>
      <c r="O94" s="22"/>
      <c r="P94" s="35"/>
      <c r="Q94" s="22"/>
      <c r="R94" s="35"/>
      <c r="S94" s="35"/>
      <c r="T94" s="35"/>
      <c r="U94" s="35"/>
      <c r="V94" s="22"/>
      <c r="W94" s="35"/>
      <c r="X94" s="35"/>
      <c r="Y94" s="3"/>
    </row>
    <row x14ac:dyDescent="0.25" r="95" customHeight="1" ht="19.5">
      <c r="A95" s="3"/>
      <c r="B95" s="31"/>
      <c r="C95" s="10"/>
      <c r="D95" s="3"/>
      <c r="E95" s="3"/>
      <c r="F95" s="3"/>
      <c r="G95" s="31"/>
      <c r="H95" s="10"/>
      <c r="I95" s="3"/>
      <c r="J95" s="3"/>
      <c r="K95" s="3"/>
      <c r="L95" s="3"/>
      <c r="M95" s="35"/>
      <c r="N95" s="35"/>
      <c r="O95" s="22"/>
      <c r="P95" s="35"/>
      <c r="Q95" s="22"/>
      <c r="R95" s="35"/>
      <c r="S95" s="35"/>
      <c r="T95" s="35"/>
      <c r="U95" s="35"/>
      <c r="V95" s="22"/>
      <c r="W95" s="35"/>
      <c r="X95" s="35"/>
      <c r="Y95" s="3"/>
    </row>
    <row x14ac:dyDescent="0.25" r="96" customHeight="1" ht="19.5">
      <c r="A96" s="3"/>
      <c r="B96" s="31"/>
      <c r="C96" s="10"/>
      <c r="D96" s="3"/>
      <c r="E96" s="3"/>
      <c r="F96" s="3"/>
      <c r="G96" s="31"/>
      <c r="H96" s="10"/>
      <c r="I96" s="3"/>
      <c r="J96" s="3"/>
      <c r="K96" s="3"/>
      <c r="L96" s="3"/>
      <c r="M96" s="35"/>
      <c r="N96" s="35"/>
      <c r="O96" s="22"/>
      <c r="P96" s="35"/>
      <c r="Q96" s="22"/>
      <c r="R96" s="35"/>
      <c r="S96" s="35"/>
      <c r="T96" s="35"/>
      <c r="U96" s="35"/>
      <c r="V96" s="22"/>
      <c r="W96" s="35"/>
      <c r="X96" s="35"/>
      <c r="Y96" s="3"/>
    </row>
    <row x14ac:dyDescent="0.25" r="97" customHeight="1" ht="19.5">
      <c r="A97" s="3"/>
      <c r="B97" s="31"/>
      <c r="C97" s="10"/>
      <c r="D97" s="3"/>
      <c r="E97" s="3"/>
      <c r="F97" s="3"/>
      <c r="G97" s="31"/>
      <c r="H97" s="10"/>
      <c r="I97" s="3"/>
      <c r="J97" s="3"/>
      <c r="K97" s="3"/>
      <c r="L97" s="3"/>
      <c r="M97" s="35"/>
      <c r="N97" s="35"/>
      <c r="O97" s="22"/>
      <c r="P97" s="35"/>
      <c r="Q97" s="22"/>
      <c r="R97" s="35"/>
      <c r="S97" s="35"/>
      <c r="T97" s="35"/>
      <c r="U97" s="35"/>
      <c r="V97" s="22"/>
      <c r="W97" s="35"/>
      <c r="X97" s="35"/>
      <c r="Y97" s="3"/>
    </row>
    <row x14ac:dyDescent="0.25" r="98" customHeight="1" ht="19.5">
      <c r="A98" s="3"/>
      <c r="B98" s="31"/>
      <c r="C98" s="10"/>
      <c r="D98" s="3"/>
      <c r="E98" s="3"/>
      <c r="F98" s="3"/>
      <c r="G98" s="31"/>
      <c r="H98" s="10"/>
      <c r="I98" s="3"/>
      <c r="J98" s="3"/>
      <c r="K98" s="3"/>
      <c r="L98" s="3"/>
      <c r="M98" s="35"/>
      <c r="N98" s="35"/>
      <c r="O98" s="22"/>
      <c r="P98" s="35"/>
      <c r="Q98" s="22"/>
      <c r="R98" s="35"/>
      <c r="S98" s="35"/>
      <c r="T98" s="35"/>
      <c r="U98" s="35"/>
      <c r="V98" s="22"/>
      <c r="W98" s="35"/>
      <c r="X98" s="35"/>
      <c r="Y98" s="3"/>
    </row>
    <row x14ac:dyDescent="0.25" r="99" customHeight="1" ht="19.5">
      <c r="A99" s="3"/>
      <c r="B99" s="31"/>
      <c r="C99" s="10"/>
      <c r="D99" s="3"/>
      <c r="E99" s="3"/>
      <c r="F99" s="3"/>
      <c r="G99" s="31"/>
      <c r="H99" s="10"/>
      <c r="I99" s="3"/>
      <c r="J99" s="3"/>
      <c r="K99" s="3"/>
      <c r="L99" s="3"/>
      <c r="M99" s="35"/>
      <c r="N99" s="35"/>
      <c r="O99" s="22"/>
      <c r="P99" s="35"/>
      <c r="Q99" s="22"/>
      <c r="R99" s="35"/>
      <c r="S99" s="35"/>
      <c r="T99" s="35"/>
      <c r="U99" s="35"/>
      <c r="V99" s="22"/>
      <c r="W99" s="35"/>
      <c r="X99" s="35"/>
      <c r="Y99" s="3"/>
    </row>
    <row x14ac:dyDescent="0.25" r="100" customHeight="1" ht="19.5">
      <c r="A100" s="3"/>
      <c r="B100" s="3"/>
      <c r="C100" s="22"/>
      <c r="D100" s="3"/>
      <c r="E100" s="3"/>
      <c r="F100" s="3"/>
      <c r="G100" s="31"/>
      <c r="H100" s="10"/>
      <c r="I100" s="3"/>
      <c r="J100" s="3"/>
      <c r="K100" s="3"/>
      <c r="L100" s="3"/>
      <c r="M100" s="35"/>
      <c r="N100" s="35"/>
      <c r="O100" s="22"/>
      <c r="P100" s="35"/>
      <c r="Q100" s="22"/>
      <c r="R100" s="35"/>
      <c r="S100" s="35"/>
      <c r="T100" s="35"/>
      <c r="U100" s="35"/>
      <c r="V100" s="22"/>
      <c r="W100" s="35"/>
      <c r="X100" s="35"/>
      <c r="Y100" s="3"/>
    </row>
    <row x14ac:dyDescent="0.25" r="101" customHeight="1" ht="19.5">
      <c r="A101" s="3"/>
      <c r="B101" s="3"/>
      <c r="C101" s="22"/>
      <c r="D101" s="3"/>
      <c r="E101" s="3"/>
      <c r="F101" s="3"/>
      <c r="G101" s="31"/>
      <c r="H101" s="10"/>
      <c r="I101" s="3"/>
      <c r="J101" s="3"/>
      <c r="K101" s="3"/>
      <c r="L101" s="3"/>
      <c r="M101" s="35"/>
      <c r="N101" s="35"/>
      <c r="O101" s="22"/>
      <c r="P101" s="35"/>
      <c r="Q101" s="22"/>
      <c r="R101" s="35"/>
      <c r="S101" s="35"/>
      <c r="T101" s="35"/>
      <c r="U101" s="35"/>
      <c r="V101" s="22"/>
      <c r="W101" s="35"/>
      <c r="X101" s="35"/>
      <c r="Y101" s="3"/>
    </row>
    <row x14ac:dyDescent="0.25" r="102" customHeight="1" ht="19.5">
      <c r="A102" s="3"/>
      <c r="B102" s="3"/>
      <c r="C102" s="22"/>
      <c r="D102" s="3"/>
      <c r="E102" s="3"/>
      <c r="F102" s="3"/>
      <c r="G102" s="31"/>
      <c r="H102" s="10"/>
      <c r="I102" s="3"/>
      <c r="J102" s="3"/>
      <c r="K102" s="3"/>
      <c r="L102" s="3"/>
      <c r="M102" s="35"/>
      <c r="N102" s="35"/>
      <c r="O102" s="22"/>
      <c r="P102" s="35"/>
      <c r="Q102" s="22"/>
      <c r="R102" s="35"/>
      <c r="S102" s="35"/>
      <c r="T102" s="35"/>
      <c r="U102" s="35"/>
      <c r="V102" s="22"/>
      <c r="W102" s="35"/>
      <c r="X102" s="35"/>
      <c r="Y102" s="3"/>
    </row>
    <row x14ac:dyDescent="0.25" r="103" customHeight="1" ht="19.5">
      <c r="A103" s="3"/>
      <c r="B103" s="3"/>
      <c r="C103" s="22"/>
      <c r="D103" s="3"/>
      <c r="E103" s="3"/>
      <c r="F103" s="3"/>
      <c r="G103" s="31"/>
      <c r="H103" s="10"/>
      <c r="I103" s="3"/>
      <c r="J103" s="3"/>
      <c r="K103" s="3"/>
      <c r="L103" s="3"/>
      <c r="M103" s="35"/>
      <c r="N103" s="35"/>
      <c r="O103" s="22"/>
      <c r="P103" s="35"/>
      <c r="Q103" s="22"/>
      <c r="R103" s="35"/>
      <c r="S103" s="35"/>
      <c r="T103" s="35"/>
      <c r="U103" s="35"/>
      <c r="V103" s="22"/>
      <c r="W103" s="35"/>
      <c r="X103" s="35"/>
      <c r="Y103" s="3"/>
    </row>
    <row x14ac:dyDescent="0.25" r="104" customHeight="1" ht="19.5">
      <c r="A104" s="3"/>
      <c r="B104" s="3"/>
      <c r="C104" s="22"/>
      <c r="D104" s="3"/>
      <c r="E104" s="3"/>
      <c r="F104" s="3"/>
      <c r="G104" s="31"/>
      <c r="H104" s="10"/>
      <c r="I104" s="3"/>
      <c r="J104" s="3"/>
      <c r="K104" s="3"/>
      <c r="L104" s="3"/>
      <c r="M104" s="35"/>
      <c r="N104" s="35"/>
      <c r="O104" s="22"/>
      <c r="P104" s="35"/>
      <c r="Q104" s="22"/>
      <c r="R104" s="35"/>
      <c r="S104" s="35"/>
      <c r="T104" s="35"/>
      <c r="U104" s="35"/>
      <c r="V104" s="22"/>
      <c r="W104" s="35"/>
      <c r="X104" s="35"/>
      <c r="Y104" s="3"/>
    </row>
    <row x14ac:dyDescent="0.25" r="105" customHeight="1" ht="19.5">
      <c r="A105" s="3"/>
      <c r="B105" s="3"/>
      <c r="C105" s="22"/>
      <c r="D105" s="3"/>
      <c r="E105" s="3"/>
      <c r="F105" s="3"/>
      <c r="G105" s="31"/>
      <c r="H105" s="10"/>
      <c r="I105" s="3"/>
      <c r="J105" s="3"/>
      <c r="K105" s="3"/>
      <c r="L105" s="3"/>
      <c r="M105" s="35"/>
      <c r="N105" s="35"/>
      <c r="O105" s="22"/>
      <c r="P105" s="35"/>
      <c r="Q105" s="22"/>
      <c r="R105" s="35"/>
      <c r="S105" s="35"/>
      <c r="T105" s="35"/>
      <c r="U105" s="35"/>
      <c r="V105" s="22"/>
      <c r="W105" s="35"/>
      <c r="X105" s="35"/>
      <c r="Y105" s="3"/>
    </row>
    <row x14ac:dyDescent="0.25" r="106" customHeight="1" ht="19.5">
      <c r="A106" s="3"/>
      <c r="B106" s="3"/>
      <c r="C106" s="22"/>
      <c r="D106" s="3"/>
      <c r="E106" s="3"/>
      <c r="F106" s="3"/>
      <c r="G106" s="31"/>
      <c r="H106" s="10"/>
      <c r="I106" s="3"/>
      <c r="J106" s="3"/>
      <c r="K106" s="3"/>
      <c r="L106" s="3"/>
      <c r="M106" s="35"/>
      <c r="N106" s="35"/>
      <c r="O106" s="22"/>
      <c r="P106" s="35"/>
      <c r="Q106" s="22"/>
      <c r="R106" s="35"/>
      <c r="S106" s="35"/>
      <c r="T106" s="35"/>
      <c r="U106" s="35"/>
      <c r="V106" s="22"/>
      <c r="W106" s="35"/>
      <c r="X106" s="35"/>
      <c r="Y106" s="3"/>
    </row>
    <row x14ac:dyDescent="0.25" r="107" customHeight="1" ht="19.5">
      <c r="A107" s="3"/>
      <c r="B107" s="3"/>
      <c r="C107" s="22"/>
      <c r="D107" s="3"/>
      <c r="E107" s="3"/>
      <c r="F107" s="3"/>
      <c r="G107" s="31"/>
      <c r="H107" s="10"/>
      <c r="I107" s="3"/>
      <c r="J107" s="3"/>
      <c r="K107" s="3"/>
      <c r="L107" s="3"/>
      <c r="M107" s="35"/>
      <c r="N107" s="35"/>
      <c r="O107" s="22"/>
      <c r="P107" s="35"/>
      <c r="Q107" s="22"/>
      <c r="R107" s="35"/>
      <c r="S107" s="35"/>
      <c r="T107" s="35"/>
      <c r="U107" s="35"/>
      <c r="V107" s="22"/>
      <c r="W107" s="35"/>
      <c r="X107" s="35"/>
      <c r="Y107" s="3"/>
    </row>
    <row x14ac:dyDescent="0.25" r="108" customHeight="1" ht="19.5">
      <c r="A108" s="3"/>
      <c r="B108" s="3"/>
      <c r="C108" s="22"/>
      <c r="D108" s="3"/>
      <c r="E108" s="3"/>
      <c r="F108" s="3"/>
      <c r="G108" s="31"/>
      <c r="H108" s="10"/>
      <c r="I108" s="3"/>
      <c r="J108" s="3"/>
      <c r="K108" s="3"/>
      <c r="L108" s="3"/>
      <c r="M108" s="35"/>
      <c r="N108" s="35"/>
      <c r="O108" s="22"/>
      <c r="P108" s="35"/>
      <c r="Q108" s="22"/>
      <c r="R108" s="35"/>
      <c r="S108" s="35"/>
      <c r="T108" s="35"/>
      <c r="U108" s="35"/>
      <c r="V108" s="22"/>
      <c r="W108" s="35"/>
      <c r="X108" s="35"/>
      <c r="Y108" s="3"/>
    </row>
    <row x14ac:dyDescent="0.25" r="109" customHeight="1" ht="19.5">
      <c r="A109" s="3"/>
      <c r="B109" s="3"/>
      <c r="C109" s="22"/>
      <c r="D109" s="3"/>
      <c r="E109" s="3"/>
      <c r="F109" s="3"/>
      <c r="G109" s="31"/>
      <c r="H109" s="10"/>
      <c r="I109" s="3"/>
      <c r="J109" s="3"/>
      <c r="K109" s="3"/>
      <c r="L109" s="3"/>
      <c r="M109" s="35"/>
      <c r="N109" s="35"/>
      <c r="O109" s="22"/>
      <c r="P109" s="35"/>
      <c r="Q109" s="22"/>
      <c r="R109" s="35"/>
      <c r="S109" s="35"/>
      <c r="T109" s="35"/>
      <c r="U109" s="35"/>
      <c r="V109" s="22"/>
      <c r="W109" s="35"/>
      <c r="X109" s="35"/>
      <c r="Y109" s="3"/>
    </row>
    <row x14ac:dyDescent="0.25" r="110" customHeight="1" ht="19.5">
      <c r="A110" s="3"/>
      <c r="B110" s="3"/>
      <c r="C110" s="22"/>
      <c r="D110" s="3"/>
      <c r="E110" s="3"/>
      <c r="F110" s="3"/>
      <c r="G110" s="31"/>
      <c r="H110" s="10"/>
      <c r="I110" s="3"/>
      <c r="J110" s="3"/>
      <c r="K110" s="3"/>
      <c r="L110" s="3"/>
      <c r="M110" s="35"/>
      <c r="N110" s="35"/>
      <c r="O110" s="22"/>
      <c r="P110" s="35"/>
      <c r="Q110" s="22"/>
      <c r="R110" s="35"/>
      <c r="S110" s="35"/>
      <c r="T110" s="35"/>
      <c r="U110" s="35"/>
      <c r="V110" s="22"/>
      <c r="W110" s="35"/>
      <c r="X110" s="35"/>
      <c r="Y110" s="3"/>
    </row>
    <row x14ac:dyDescent="0.25" r="111" customHeight="1" ht="19.5">
      <c r="A111" s="3"/>
      <c r="B111" s="3"/>
      <c r="C111" s="22"/>
      <c r="D111" s="3"/>
      <c r="E111" s="3"/>
      <c r="F111" s="3"/>
      <c r="G111" s="31"/>
      <c r="H111" s="10"/>
      <c r="I111" s="3"/>
      <c r="J111" s="3"/>
      <c r="K111" s="3"/>
      <c r="L111" s="3"/>
      <c r="M111" s="35"/>
      <c r="N111" s="35"/>
      <c r="O111" s="22"/>
      <c r="P111" s="35"/>
      <c r="Q111" s="22"/>
      <c r="R111" s="35"/>
      <c r="S111" s="35"/>
      <c r="T111" s="35"/>
      <c r="U111" s="35"/>
      <c r="V111" s="22"/>
      <c r="W111" s="35"/>
      <c r="X111" s="35"/>
      <c r="Y111" s="3"/>
    </row>
    <row x14ac:dyDescent="0.25" r="112" customHeight="1" ht="19.5">
      <c r="A112" s="3"/>
      <c r="B112" s="3"/>
      <c r="C112" s="22"/>
      <c r="D112" s="3"/>
      <c r="E112" s="3"/>
      <c r="F112" s="3"/>
      <c r="G112" s="31"/>
      <c r="H112" s="10"/>
      <c r="I112" s="3"/>
      <c r="J112" s="3"/>
      <c r="K112" s="3"/>
      <c r="L112" s="3"/>
      <c r="M112" s="35"/>
      <c r="N112" s="35"/>
      <c r="O112" s="22"/>
      <c r="P112" s="35"/>
      <c r="Q112" s="22"/>
      <c r="R112" s="35"/>
      <c r="S112" s="35"/>
      <c r="T112" s="35"/>
      <c r="U112" s="35"/>
      <c r="V112" s="22"/>
      <c r="W112" s="35"/>
      <c r="X112" s="35"/>
      <c r="Y112" s="3"/>
    </row>
    <row x14ac:dyDescent="0.25" r="113" customHeight="1" ht="19.5">
      <c r="A113" s="3"/>
      <c r="B113" s="3"/>
      <c r="C113" s="22"/>
      <c r="D113" s="3"/>
      <c r="E113" s="3"/>
      <c r="F113" s="3"/>
      <c r="G113" s="31"/>
      <c r="H113" s="10"/>
      <c r="I113" s="3"/>
      <c r="J113" s="3"/>
      <c r="K113" s="3"/>
      <c r="L113" s="3"/>
      <c r="M113" s="35"/>
      <c r="N113" s="35"/>
      <c r="O113" s="22"/>
      <c r="P113" s="35"/>
      <c r="Q113" s="22"/>
      <c r="R113" s="35"/>
      <c r="S113" s="35"/>
      <c r="T113" s="35"/>
      <c r="U113" s="35"/>
      <c r="V113" s="22"/>
      <c r="W113" s="35"/>
      <c r="X113" s="35"/>
      <c r="Y113" s="3"/>
    </row>
    <row x14ac:dyDescent="0.25" r="114" customHeight="1" ht="19.5">
      <c r="A114" s="3"/>
      <c r="B114" s="3"/>
      <c r="C114" s="22"/>
      <c r="D114" s="3"/>
      <c r="E114" s="3"/>
      <c r="F114" s="3"/>
      <c r="G114" s="31"/>
      <c r="H114" s="3"/>
      <c r="I114" s="3"/>
      <c r="J114" s="3"/>
      <c r="K114" s="3"/>
      <c r="L114" s="3"/>
      <c r="M114" s="35"/>
      <c r="N114" s="35"/>
      <c r="O114" s="22"/>
      <c r="P114" s="35"/>
      <c r="Q114" s="22"/>
      <c r="R114" s="35"/>
      <c r="S114" s="35"/>
      <c r="T114" s="35"/>
      <c r="U114" s="35"/>
      <c r="V114" s="22"/>
      <c r="W114" s="35"/>
      <c r="X114" s="35"/>
      <c r="Y114" s="3"/>
    </row>
    <row x14ac:dyDescent="0.25" r="115" customHeight="1" ht="19.5">
      <c r="A115" s="3"/>
      <c r="B115" s="3"/>
      <c r="C115" s="22"/>
      <c r="D115" s="3"/>
      <c r="E115" s="3"/>
      <c r="F115" s="3"/>
      <c r="G115" s="31"/>
      <c r="H115" s="3"/>
      <c r="I115" s="3"/>
      <c r="J115" s="3"/>
      <c r="K115" s="3"/>
      <c r="L115" s="3"/>
      <c r="M115" s="35"/>
      <c r="N115" s="35"/>
      <c r="O115" s="22"/>
      <c r="P115" s="35"/>
      <c r="Q115" s="22"/>
      <c r="R115" s="35"/>
      <c r="S115" s="35"/>
      <c r="T115" s="35"/>
      <c r="U115" s="35"/>
      <c r="V115" s="22"/>
      <c r="W115" s="35"/>
      <c r="X115" s="35"/>
      <c r="Y115" s="3"/>
    </row>
    <row x14ac:dyDescent="0.25" r="116" customHeight="1" ht="19.5">
      <c r="A116" s="3"/>
      <c r="B116" s="3"/>
      <c r="C116" s="22"/>
      <c r="D116" s="3"/>
      <c r="E116" s="3"/>
      <c r="F116" s="3"/>
      <c r="G116" s="31"/>
      <c r="H116" s="3"/>
      <c r="I116" s="3"/>
      <c r="J116" s="3"/>
      <c r="K116" s="3"/>
      <c r="L116" s="3"/>
      <c r="M116" s="35"/>
      <c r="N116" s="35"/>
      <c r="O116" s="22"/>
      <c r="P116" s="35"/>
      <c r="Q116" s="22"/>
      <c r="R116" s="35"/>
      <c r="S116" s="35"/>
      <c r="T116" s="35"/>
      <c r="U116" s="35"/>
      <c r="V116" s="22"/>
      <c r="W116" s="35"/>
      <c r="X116" s="35"/>
      <c r="Y116" s="3"/>
    </row>
    <row x14ac:dyDescent="0.25" r="117" customHeight="1" ht="19.5">
      <c r="A117" s="3"/>
      <c r="B117" s="3"/>
      <c r="C117" s="22"/>
      <c r="D117" s="3"/>
      <c r="E117" s="3"/>
      <c r="F117" s="3"/>
      <c r="G117" s="31"/>
      <c r="H117" s="10"/>
      <c r="I117" s="3"/>
      <c r="J117" s="3"/>
      <c r="K117" s="3"/>
      <c r="L117" s="3"/>
      <c r="M117" s="35"/>
      <c r="N117" s="35"/>
      <c r="O117" s="22"/>
      <c r="P117" s="35"/>
      <c r="Q117" s="22"/>
      <c r="R117" s="35"/>
      <c r="S117" s="35"/>
      <c r="T117" s="35"/>
      <c r="U117" s="35"/>
      <c r="V117" s="22"/>
      <c r="W117" s="35"/>
      <c r="X117" s="35"/>
      <c r="Y117" s="3"/>
    </row>
    <row x14ac:dyDescent="0.25" r="118" customHeight="1" ht="19.5">
      <c r="A118" s="3"/>
      <c r="B118" s="3"/>
      <c r="C118" s="22"/>
      <c r="D118" s="3"/>
      <c r="E118" s="3"/>
      <c r="F118" s="3"/>
      <c r="G118" s="31"/>
      <c r="H118" s="10"/>
      <c r="I118" s="3"/>
      <c r="J118" s="3"/>
      <c r="K118" s="3"/>
      <c r="L118" s="3"/>
      <c r="M118" s="35"/>
      <c r="N118" s="35"/>
      <c r="O118" s="22"/>
      <c r="P118" s="35"/>
      <c r="Q118" s="22"/>
      <c r="R118" s="35"/>
      <c r="S118" s="35"/>
      <c r="T118" s="35"/>
      <c r="U118" s="35"/>
      <c r="V118" s="22"/>
      <c r="W118" s="35"/>
      <c r="X118" s="35"/>
      <c r="Y118" s="3"/>
    </row>
    <row x14ac:dyDescent="0.25" r="119" customHeight="1" ht="19.5">
      <c r="A119" s="3"/>
      <c r="B119" s="3"/>
      <c r="C119" s="22"/>
      <c r="D119" s="3"/>
      <c r="E119" s="3"/>
      <c r="F119" s="3"/>
      <c r="G119" s="31"/>
      <c r="H119" s="10"/>
      <c r="I119" s="3"/>
      <c r="J119" s="3"/>
      <c r="K119" s="3"/>
      <c r="L119" s="3"/>
      <c r="M119" s="35"/>
      <c r="N119" s="35"/>
      <c r="O119" s="22"/>
      <c r="P119" s="35"/>
      <c r="Q119" s="22"/>
      <c r="R119" s="35"/>
      <c r="S119" s="35"/>
      <c r="T119" s="35"/>
      <c r="U119" s="35"/>
      <c r="V119" s="22"/>
      <c r="W119" s="35"/>
      <c r="X119" s="35"/>
      <c r="Y119" s="3"/>
    </row>
    <row x14ac:dyDescent="0.25" r="120" customHeight="1" ht="19.5">
      <c r="A120" s="3"/>
      <c r="B120" s="3"/>
      <c r="C120" s="22"/>
      <c r="D120" s="3"/>
      <c r="E120" s="3"/>
      <c r="F120" s="3"/>
      <c r="G120" s="31"/>
      <c r="H120" s="10"/>
      <c r="I120" s="3"/>
      <c r="J120" s="3"/>
      <c r="K120" s="3"/>
      <c r="L120" s="3"/>
      <c r="M120" s="35"/>
      <c r="N120" s="35"/>
      <c r="O120" s="22"/>
      <c r="P120" s="35"/>
      <c r="Q120" s="22"/>
      <c r="R120" s="35"/>
      <c r="S120" s="35"/>
      <c r="T120" s="35"/>
      <c r="U120" s="35"/>
      <c r="V120" s="22"/>
      <c r="W120" s="35"/>
      <c r="X120" s="35"/>
      <c r="Y120" s="3"/>
    </row>
    <row x14ac:dyDescent="0.25" r="121" customHeight="1" ht="19.5">
      <c r="A121" s="3"/>
      <c r="B121" s="3"/>
      <c r="C121" s="22"/>
      <c r="D121" s="3"/>
      <c r="E121" s="3"/>
      <c r="F121" s="3"/>
      <c r="G121" s="31"/>
      <c r="H121" s="3"/>
      <c r="I121" s="3"/>
      <c r="J121" s="3"/>
      <c r="K121" s="3"/>
      <c r="L121" s="3"/>
      <c r="M121" s="35"/>
      <c r="N121" s="35"/>
      <c r="O121" s="22"/>
      <c r="P121" s="35"/>
      <c r="Q121" s="22"/>
      <c r="R121" s="35"/>
      <c r="S121" s="35"/>
      <c r="T121" s="35"/>
      <c r="U121" s="35"/>
      <c r="V121" s="22"/>
      <c r="W121" s="35"/>
      <c r="X121" s="35"/>
      <c r="Y121" s="3"/>
    </row>
    <row x14ac:dyDescent="0.25" r="122" customHeight="1" ht="19.5">
      <c r="A122" s="3"/>
      <c r="B122" s="3"/>
      <c r="C122" s="22"/>
      <c r="D122" s="3"/>
      <c r="E122" s="3"/>
      <c r="F122" s="3"/>
      <c r="G122" s="31"/>
      <c r="H122" s="3"/>
      <c r="I122" s="3"/>
      <c r="J122" s="3"/>
      <c r="K122" s="3"/>
      <c r="L122" s="3"/>
      <c r="M122" s="35"/>
      <c r="N122" s="35"/>
      <c r="O122" s="22"/>
      <c r="P122" s="35"/>
      <c r="Q122" s="22"/>
      <c r="R122" s="35"/>
      <c r="S122" s="35"/>
      <c r="T122" s="35"/>
      <c r="U122" s="35"/>
      <c r="V122" s="22"/>
      <c r="W122" s="35"/>
      <c r="X122" s="35"/>
      <c r="Y122" s="3"/>
    </row>
    <row x14ac:dyDescent="0.25" r="123" customHeight="1" ht="19.5">
      <c r="A123" s="3"/>
      <c r="B123" s="3"/>
      <c r="C123" s="22"/>
      <c r="D123" s="3"/>
      <c r="E123" s="3"/>
      <c r="F123" s="3"/>
      <c r="G123" s="31"/>
      <c r="H123" s="3"/>
      <c r="I123" s="3"/>
      <c r="J123" s="3"/>
      <c r="K123" s="3"/>
      <c r="L123" s="3"/>
      <c r="M123" s="35"/>
      <c r="N123" s="35"/>
      <c r="O123" s="22"/>
      <c r="P123" s="35"/>
      <c r="Q123" s="22"/>
      <c r="R123" s="35"/>
      <c r="S123" s="35"/>
      <c r="T123" s="35"/>
      <c r="U123" s="35"/>
      <c r="V123" s="22"/>
      <c r="W123" s="35"/>
      <c r="X123" s="35"/>
      <c r="Y123" s="3"/>
    </row>
    <row x14ac:dyDescent="0.25" r="124" customHeight="1" ht="19.5">
      <c r="A124" s="3"/>
      <c r="B124" s="3"/>
      <c r="C124" s="22"/>
      <c r="D124" s="3"/>
      <c r="E124" s="3"/>
      <c r="F124" s="3"/>
      <c r="G124" s="31"/>
      <c r="H124" s="10"/>
      <c r="I124" s="3"/>
      <c r="J124" s="3"/>
      <c r="K124" s="3"/>
      <c r="L124" s="3"/>
      <c r="M124" s="35"/>
      <c r="N124" s="35"/>
      <c r="O124" s="22"/>
      <c r="P124" s="35"/>
      <c r="Q124" s="22"/>
      <c r="R124" s="35"/>
      <c r="S124" s="35"/>
      <c r="T124" s="35"/>
      <c r="U124" s="35"/>
      <c r="V124" s="22"/>
      <c r="W124" s="35"/>
      <c r="X124" s="35"/>
      <c r="Y124" s="3"/>
    </row>
    <row x14ac:dyDescent="0.25" r="125" customHeight="1" ht="19.5">
      <c r="A125" s="3"/>
      <c r="B125" s="3"/>
      <c r="C125" s="22"/>
      <c r="D125" s="3"/>
      <c r="E125" s="3"/>
      <c r="F125" s="3"/>
      <c r="G125" s="31"/>
      <c r="H125" s="10"/>
      <c r="I125" s="3"/>
      <c r="J125" s="3"/>
      <c r="K125" s="3"/>
      <c r="L125" s="3"/>
      <c r="M125" s="35"/>
      <c r="N125" s="35"/>
      <c r="O125" s="22"/>
      <c r="P125" s="35"/>
      <c r="Q125" s="22"/>
      <c r="R125" s="35"/>
      <c r="S125" s="35"/>
      <c r="T125" s="35"/>
      <c r="U125" s="35"/>
      <c r="V125" s="22"/>
      <c r="W125" s="35"/>
      <c r="X125" s="35"/>
      <c r="Y125" s="3"/>
    </row>
    <row x14ac:dyDescent="0.25" r="126" customHeight="1" ht="19.5">
      <c r="A126" s="3"/>
      <c r="B126" s="3"/>
      <c r="C126" s="22"/>
      <c r="D126" s="3"/>
      <c r="E126" s="3"/>
      <c r="F126" s="3"/>
      <c r="G126" s="31"/>
      <c r="H126" s="10"/>
      <c r="I126" s="3"/>
      <c r="J126" s="3"/>
      <c r="K126" s="3"/>
      <c r="L126" s="3"/>
      <c r="M126" s="35"/>
      <c r="N126" s="35"/>
      <c r="O126" s="22"/>
      <c r="P126" s="35"/>
      <c r="Q126" s="22"/>
      <c r="R126" s="35"/>
      <c r="S126" s="35"/>
      <c r="T126" s="35"/>
      <c r="U126" s="35"/>
      <c r="V126" s="22"/>
      <c r="W126" s="35"/>
      <c r="X126" s="35"/>
      <c r="Y126" s="3"/>
    </row>
    <row x14ac:dyDescent="0.25" r="127" customHeight="1" ht="19.5">
      <c r="A127" s="3"/>
      <c r="B127" s="3"/>
      <c r="C127" s="22"/>
      <c r="D127" s="3"/>
      <c r="E127" s="3"/>
      <c r="F127" s="3"/>
      <c r="G127" s="31"/>
      <c r="H127" s="10"/>
      <c r="I127" s="3"/>
      <c r="J127" s="3"/>
      <c r="K127" s="3"/>
      <c r="L127" s="3"/>
      <c r="M127" s="35"/>
      <c r="N127" s="35"/>
      <c r="O127" s="22"/>
      <c r="P127" s="35"/>
      <c r="Q127" s="22"/>
      <c r="R127" s="35"/>
      <c r="S127" s="35"/>
      <c r="T127" s="35"/>
      <c r="U127" s="35"/>
      <c r="V127" s="22"/>
      <c r="W127" s="35"/>
      <c r="X127" s="35"/>
      <c r="Y127" s="3"/>
    </row>
    <row x14ac:dyDescent="0.25" r="128" customHeight="1" ht="19.5">
      <c r="A128" s="3"/>
      <c r="B128" s="3"/>
      <c r="C128" s="22"/>
      <c r="D128" s="3"/>
      <c r="E128" s="3"/>
      <c r="F128" s="3"/>
      <c r="G128" s="31"/>
      <c r="H128" s="3"/>
      <c r="I128" s="3"/>
      <c r="J128" s="3"/>
      <c r="K128" s="3"/>
      <c r="L128" s="3"/>
      <c r="M128" s="35"/>
      <c r="N128" s="35"/>
      <c r="O128" s="22"/>
      <c r="P128" s="35"/>
      <c r="Q128" s="22"/>
      <c r="R128" s="35"/>
      <c r="S128" s="35"/>
      <c r="T128" s="35"/>
      <c r="U128" s="35"/>
      <c r="V128" s="22"/>
      <c r="W128" s="35"/>
      <c r="X128" s="35"/>
      <c r="Y128" s="3"/>
    </row>
    <row x14ac:dyDescent="0.25" r="129" customHeight="1" ht="19.5">
      <c r="A129" s="3"/>
      <c r="B129" s="3"/>
      <c r="C129" s="22"/>
      <c r="D129" s="3"/>
      <c r="E129" s="3"/>
      <c r="F129" s="3"/>
      <c r="G129" s="31"/>
      <c r="H129" s="10"/>
      <c r="I129" s="3"/>
      <c r="J129" s="3"/>
      <c r="K129" s="3"/>
      <c r="L129" s="3"/>
      <c r="M129" s="35"/>
      <c r="N129" s="35"/>
      <c r="O129" s="22"/>
      <c r="P129" s="35"/>
      <c r="Q129" s="22"/>
      <c r="R129" s="35"/>
      <c r="S129" s="35"/>
      <c r="T129" s="35"/>
      <c r="U129" s="35"/>
      <c r="V129" s="22"/>
      <c r="W129" s="35"/>
      <c r="X129" s="35"/>
      <c r="Y129" s="3"/>
    </row>
    <row x14ac:dyDescent="0.25" r="130" customHeight="1" ht="19.5">
      <c r="A130" s="3"/>
      <c r="B130" s="3"/>
      <c r="C130" s="22"/>
      <c r="D130" s="3"/>
      <c r="E130" s="3"/>
      <c r="F130" s="3"/>
      <c r="G130" s="31"/>
      <c r="H130" s="10"/>
      <c r="I130" s="3"/>
      <c r="J130" s="3"/>
      <c r="K130" s="3"/>
      <c r="L130" s="3"/>
      <c r="M130" s="35"/>
      <c r="N130" s="35"/>
      <c r="O130" s="22"/>
      <c r="P130" s="35"/>
      <c r="Q130" s="22"/>
      <c r="R130" s="35"/>
      <c r="S130" s="35"/>
      <c r="T130" s="35"/>
      <c r="U130" s="35"/>
      <c r="V130" s="22"/>
      <c r="W130" s="35"/>
      <c r="X130" s="35"/>
      <c r="Y130" s="3"/>
    </row>
    <row x14ac:dyDescent="0.25" r="131" customHeight="1" ht="19.5">
      <c r="A131" s="3"/>
      <c r="B131" s="3"/>
      <c r="C131" s="22"/>
      <c r="D131" s="3"/>
      <c r="E131" s="3"/>
      <c r="F131" s="3"/>
      <c r="G131" s="31"/>
      <c r="H131" s="10"/>
      <c r="I131" s="3"/>
      <c r="J131" s="3"/>
      <c r="K131" s="3"/>
      <c r="L131" s="3"/>
      <c r="M131" s="35"/>
      <c r="N131" s="35"/>
      <c r="O131" s="22"/>
      <c r="P131" s="35"/>
      <c r="Q131" s="22"/>
      <c r="R131" s="35"/>
      <c r="S131" s="35"/>
      <c r="T131" s="35"/>
      <c r="U131" s="35"/>
      <c r="V131" s="22"/>
      <c r="W131" s="35"/>
      <c r="X131" s="35"/>
      <c r="Y131" s="3"/>
    </row>
    <row x14ac:dyDescent="0.25" r="132" customHeight="1" ht="19.5">
      <c r="A132" s="3"/>
      <c r="B132" s="3"/>
      <c r="C132" s="22"/>
      <c r="D132" s="3"/>
      <c r="E132" s="3"/>
      <c r="F132" s="3"/>
      <c r="G132" s="31"/>
      <c r="H132" s="10"/>
      <c r="I132" s="3"/>
      <c r="J132" s="3"/>
      <c r="K132" s="3"/>
      <c r="L132" s="3"/>
      <c r="M132" s="35"/>
      <c r="N132" s="35"/>
      <c r="O132" s="22"/>
      <c r="P132" s="35"/>
      <c r="Q132" s="22"/>
      <c r="R132" s="35"/>
      <c r="S132" s="35"/>
      <c r="T132" s="35"/>
      <c r="U132" s="35"/>
      <c r="V132" s="22"/>
      <c r="W132" s="35"/>
      <c r="X132" s="35"/>
      <c r="Y132" s="3"/>
    </row>
    <row x14ac:dyDescent="0.25" r="133" customHeight="1" ht="19.5">
      <c r="A133" s="3"/>
      <c r="B133" s="3"/>
      <c r="C133" s="22"/>
      <c r="D133" s="3"/>
      <c r="E133" s="3"/>
      <c r="F133" s="3"/>
      <c r="G133" s="31"/>
      <c r="H133" s="10"/>
      <c r="I133" s="3"/>
      <c r="J133" s="3"/>
      <c r="K133" s="3"/>
      <c r="L133" s="3"/>
      <c r="M133" s="35"/>
      <c r="N133" s="35"/>
      <c r="O133" s="22"/>
      <c r="P133" s="35"/>
      <c r="Q133" s="22"/>
      <c r="R133" s="35"/>
      <c r="S133" s="35"/>
      <c r="T133" s="35"/>
      <c r="U133" s="35"/>
      <c r="V133" s="22"/>
      <c r="W133" s="35"/>
      <c r="X133" s="35"/>
      <c r="Y133" s="3"/>
    </row>
    <row x14ac:dyDescent="0.25" r="134" customHeight="1" ht="19.5">
      <c r="A134" s="3"/>
      <c r="B134" s="3"/>
      <c r="C134" s="22"/>
      <c r="D134" s="3"/>
      <c r="E134" s="3"/>
      <c r="F134" s="3"/>
      <c r="G134" s="31"/>
      <c r="H134" s="10"/>
      <c r="I134" s="3"/>
      <c r="J134" s="3"/>
      <c r="K134" s="3"/>
      <c r="L134" s="3"/>
      <c r="M134" s="35"/>
      <c r="N134" s="35"/>
      <c r="O134" s="22"/>
      <c r="P134" s="35"/>
      <c r="Q134" s="22"/>
      <c r="R134" s="35"/>
      <c r="S134" s="35"/>
      <c r="T134" s="35"/>
      <c r="U134" s="35"/>
      <c r="V134" s="22"/>
      <c r="W134" s="35"/>
      <c r="X134" s="35"/>
      <c r="Y134" s="3"/>
    </row>
    <row x14ac:dyDescent="0.25" r="135" customHeight="1" ht="19.5">
      <c r="A135" s="3"/>
      <c r="B135" s="3"/>
      <c r="C135" s="22"/>
      <c r="D135" s="3"/>
      <c r="E135" s="3"/>
      <c r="F135" s="3"/>
      <c r="G135" s="31"/>
      <c r="H135" s="10"/>
      <c r="I135" s="3"/>
      <c r="J135" s="3"/>
      <c r="K135" s="3"/>
      <c r="L135" s="3"/>
      <c r="M135" s="35"/>
      <c r="N135" s="35"/>
      <c r="O135" s="22"/>
      <c r="P135" s="35"/>
      <c r="Q135" s="22"/>
      <c r="R135" s="35"/>
      <c r="S135" s="35"/>
      <c r="T135" s="35"/>
      <c r="U135" s="35"/>
      <c r="V135" s="22"/>
      <c r="W135" s="35"/>
      <c r="X135" s="35"/>
      <c r="Y135" s="3"/>
    </row>
    <row x14ac:dyDescent="0.25" r="136" customHeight="1" ht="19.5">
      <c r="A136" s="3"/>
      <c r="B136" s="3"/>
      <c r="C136" s="22"/>
      <c r="D136" s="3"/>
      <c r="E136" s="3"/>
      <c r="F136" s="3"/>
      <c r="G136" s="31"/>
      <c r="H136" s="10"/>
      <c r="I136" s="3"/>
      <c r="J136" s="3"/>
      <c r="K136" s="3"/>
      <c r="L136" s="3"/>
      <c r="M136" s="35"/>
      <c r="N136" s="35"/>
      <c r="O136" s="22"/>
      <c r="P136" s="35"/>
      <c r="Q136" s="22"/>
      <c r="R136" s="35"/>
      <c r="S136" s="35"/>
      <c r="T136" s="35"/>
      <c r="U136" s="35"/>
      <c r="V136" s="22"/>
      <c r="W136" s="35"/>
      <c r="X136" s="35"/>
      <c r="Y136" s="3"/>
    </row>
    <row x14ac:dyDescent="0.25" r="137" customHeight="1" ht="19.5">
      <c r="A137" s="3"/>
      <c r="B137" s="3"/>
      <c r="C137" s="22"/>
      <c r="D137" s="3"/>
      <c r="E137" s="3"/>
      <c r="F137" s="3"/>
      <c r="G137" s="31"/>
      <c r="H137" s="10"/>
      <c r="I137" s="3"/>
      <c r="J137" s="3"/>
      <c r="K137" s="3"/>
      <c r="L137" s="3"/>
      <c r="M137" s="35"/>
      <c r="N137" s="35"/>
      <c r="O137" s="22"/>
      <c r="P137" s="35"/>
      <c r="Q137" s="22"/>
      <c r="R137" s="35"/>
      <c r="S137" s="35"/>
      <c r="T137" s="35"/>
      <c r="U137" s="35"/>
      <c r="V137" s="22"/>
      <c r="W137" s="35"/>
      <c r="X137" s="35"/>
      <c r="Y137" s="3"/>
    </row>
    <row x14ac:dyDescent="0.25" r="138" customHeight="1" ht="19.5">
      <c r="A138" s="3"/>
      <c r="B138" s="3"/>
      <c r="C138" s="22"/>
      <c r="D138" s="3"/>
      <c r="E138" s="3"/>
      <c r="F138" s="3"/>
      <c r="G138" s="31"/>
      <c r="H138" s="10"/>
      <c r="I138" s="3"/>
      <c r="J138" s="3"/>
      <c r="K138" s="3"/>
      <c r="L138" s="3"/>
      <c r="M138" s="35"/>
      <c r="N138" s="35"/>
      <c r="O138" s="22"/>
      <c r="P138" s="35"/>
      <c r="Q138" s="22"/>
      <c r="R138" s="35"/>
      <c r="S138" s="35"/>
      <c r="T138" s="35"/>
      <c r="U138" s="35"/>
      <c r="V138" s="22"/>
      <c r="W138" s="35"/>
      <c r="X138" s="35"/>
      <c r="Y138" s="3"/>
    </row>
    <row x14ac:dyDescent="0.25" r="139" customHeight="1" ht="19.5">
      <c r="A139" s="3"/>
      <c r="B139" s="3"/>
      <c r="C139" s="22"/>
      <c r="D139" s="3"/>
      <c r="E139" s="3"/>
      <c r="F139" s="3"/>
      <c r="G139" s="31"/>
      <c r="H139" s="10"/>
      <c r="I139" s="3"/>
      <c r="J139" s="3"/>
      <c r="K139" s="3"/>
      <c r="L139" s="3"/>
      <c r="M139" s="35"/>
      <c r="N139" s="35"/>
      <c r="O139" s="22"/>
      <c r="P139" s="35"/>
      <c r="Q139" s="22"/>
      <c r="R139" s="35"/>
      <c r="S139" s="35"/>
      <c r="T139" s="35"/>
      <c r="U139" s="35"/>
      <c r="V139" s="22"/>
      <c r="W139" s="35"/>
      <c r="X139" s="35"/>
      <c r="Y139" s="3"/>
    </row>
    <row x14ac:dyDescent="0.25" r="140" customHeight="1" ht="19.5">
      <c r="A140" s="3"/>
      <c r="B140" s="3"/>
      <c r="C140" s="22"/>
      <c r="D140" s="3"/>
      <c r="E140" s="3"/>
      <c r="F140" s="3"/>
      <c r="G140" s="31"/>
      <c r="H140" s="10"/>
      <c r="I140" s="3"/>
      <c r="J140" s="3"/>
      <c r="K140" s="3"/>
      <c r="L140" s="3"/>
      <c r="M140" s="35"/>
      <c r="N140" s="35"/>
      <c r="O140" s="22"/>
      <c r="P140" s="35"/>
      <c r="Q140" s="22"/>
      <c r="R140" s="35"/>
      <c r="S140" s="35"/>
      <c r="T140" s="35"/>
      <c r="U140" s="35"/>
      <c r="V140" s="22"/>
      <c r="W140" s="35"/>
      <c r="X140" s="35"/>
      <c r="Y140" s="3"/>
    </row>
    <row x14ac:dyDescent="0.25" r="141" customHeight="1" ht="19.5">
      <c r="A141" s="3"/>
      <c r="B141" s="3"/>
      <c r="C141" s="22"/>
      <c r="D141" s="3"/>
      <c r="E141" s="3"/>
      <c r="F141" s="3"/>
      <c r="G141" s="31"/>
      <c r="H141" s="10"/>
      <c r="I141" s="3"/>
      <c r="J141" s="3"/>
      <c r="K141" s="3"/>
      <c r="L141" s="3"/>
      <c r="M141" s="35"/>
      <c r="N141" s="35"/>
      <c r="O141" s="22"/>
      <c r="P141" s="35"/>
      <c r="Q141" s="22"/>
      <c r="R141" s="35"/>
      <c r="S141" s="35"/>
      <c r="T141" s="35"/>
      <c r="U141" s="35"/>
      <c r="V141" s="22"/>
      <c r="W141" s="35"/>
      <c r="X141" s="35"/>
      <c r="Y141" s="3"/>
    </row>
    <row x14ac:dyDescent="0.25" r="142" customHeight="1" ht="19.5">
      <c r="A142" s="3"/>
      <c r="B142" s="3"/>
      <c r="C142" s="22"/>
      <c r="D142" s="3"/>
      <c r="E142" s="3"/>
      <c r="F142" s="3"/>
      <c r="G142" s="31"/>
      <c r="H142" s="10"/>
      <c r="I142" s="3"/>
      <c r="J142" s="3"/>
      <c r="K142" s="3"/>
      <c r="L142" s="3"/>
      <c r="M142" s="35"/>
      <c r="N142" s="35"/>
      <c r="O142" s="22"/>
      <c r="P142" s="35"/>
      <c r="Q142" s="22"/>
      <c r="R142" s="35"/>
      <c r="S142" s="35"/>
      <c r="T142" s="35"/>
      <c r="U142" s="35"/>
      <c r="V142" s="22"/>
      <c r="W142" s="35"/>
      <c r="X142" s="35"/>
      <c r="Y142" s="3"/>
    </row>
    <row x14ac:dyDescent="0.25" r="143" customHeight="1" ht="19.5">
      <c r="A143" s="3"/>
      <c r="B143" s="3"/>
      <c r="C143" s="22"/>
      <c r="D143" s="3"/>
      <c r="E143" s="3"/>
      <c r="F143" s="3"/>
      <c r="G143" s="31"/>
      <c r="H143" s="10"/>
      <c r="I143" s="3"/>
      <c r="J143" s="3"/>
      <c r="K143" s="3"/>
      <c r="L143" s="3"/>
      <c r="M143" s="35"/>
      <c r="N143" s="35"/>
      <c r="O143" s="22"/>
      <c r="P143" s="35"/>
      <c r="Q143" s="22"/>
      <c r="R143" s="35"/>
      <c r="S143" s="35"/>
      <c r="T143" s="35"/>
      <c r="U143" s="35"/>
      <c r="V143" s="22"/>
      <c r="W143" s="35"/>
      <c r="X143" s="35"/>
      <c r="Y143" s="3"/>
    </row>
    <row x14ac:dyDescent="0.25" r="144" customHeight="1" ht="19.5">
      <c r="A144" s="3"/>
      <c r="B144" s="3"/>
      <c r="C144" s="22"/>
      <c r="D144" s="3"/>
      <c r="E144" s="3"/>
      <c r="F144" s="3"/>
      <c r="G144" s="31"/>
      <c r="H144" s="10"/>
      <c r="I144" s="3"/>
      <c r="J144" s="3"/>
      <c r="K144" s="3"/>
      <c r="L144" s="3"/>
      <c r="M144" s="35"/>
      <c r="N144" s="35"/>
      <c r="O144" s="22"/>
      <c r="P144" s="35"/>
      <c r="Q144" s="22"/>
      <c r="R144" s="35"/>
      <c r="S144" s="35"/>
      <c r="T144" s="35"/>
      <c r="U144" s="35"/>
      <c r="V144" s="22"/>
      <c r="W144" s="35"/>
      <c r="X144" s="35"/>
      <c r="Y144" s="3"/>
    </row>
    <row x14ac:dyDescent="0.25" r="145" customHeight="1" ht="19.5">
      <c r="A145" s="3"/>
      <c r="B145" s="3"/>
      <c r="C145" s="22"/>
      <c r="D145" s="3"/>
      <c r="E145" s="3"/>
      <c r="F145" s="3"/>
      <c r="G145" s="31"/>
      <c r="H145" s="10"/>
      <c r="I145" s="3"/>
      <c r="J145" s="3"/>
      <c r="K145" s="3"/>
      <c r="L145" s="3"/>
      <c r="M145" s="35"/>
      <c r="N145" s="35"/>
      <c r="O145" s="22"/>
      <c r="P145" s="35"/>
      <c r="Q145" s="22"/>
      <c r="R145" s="35"/>
      <c r="S145" s="35"/>
      <c r="T145" s="35"/>
      <c r="U145" s="35"/>
      <c r="V145" s="22"/>
      <c r="W145" s="35"/>
      <c r="X145" s="35"/>
      <c r="Y145" s="3"/>
    </row>
    <row x14ac:dyDescent="0.25" r="146" customHeight="1" ht="19.5">
      <c r="A146" s="3"/>
      <c r="B146" s="3"/>
      <c r="C146" s="22"/>
      <c r="D146" s="3"/>
      <c r="E146" s="3"/>
      <c r="F146" s="3"/>
      <c r="G146" s="31"/>
      <c r="H146" s="10"/>
      <c r="I146" s="3"/>
      <c r="J146" s="3"/>
      <c r="K146" s="3"/>
      <c r="L146" s="3"/>
      <c r="M146" s="35"/>
      <c r="N146" s="35"/>
      <c r="O146" s="22"/>
      <c r="P146" s="35"/>
      <c r="Q146" s="22"/>
      <c r="R146" s="35"/>
      <c r="S146" s="35"/>
      <c r="T146" s="35"/>
      <c r="U146" s="35"/>
      <c r="V146" s="22"/>
      <c r="W146" s="35"/>
      <c r="X146" s="35"/>
      <c r="Y146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16"/>
  <sheetViews>
    <sheetView workbookViewId="0"/>
  </sheetViews>
  <sheetFormatPr defaultRowHeight="15" x14ac:dyDescent="0.25"/>
  <cols>
    <col min="1" max="1" style="17" width="14.147857142857141" customWidth="1" bestFit="1"/>
    <col min="2" max="2" style="17" width="14.147857142857141" customWidth="1" bestFit="1"/>
    <col min="3" max="3" style="17" width="14.147857142857141" customWidth="1" bestFit="1"/>
    <col min="4" max="4" style="17" width="14.147857142857141" customWidth="1" bestFit="1"/>
    <col min="5" max="5" style="18" width="11.43357142857143" customWidth="1" bestFit="1"/>
    <col min="6" max="6" style="18" width="14.147857142857141" customWidth="1" bestFit="1"/>
    <col min="7" max="7" style="17" width="14.147857142857141" customWidth="1" bestFit="1"/>
    <col min="8" max="8" style="17" width="14.147857142857141" customWidth="1" bestFit="1"/>
    <col min="9" max="9" style="17" width="14.147857142857141" customWidth="1" bestFit="1"/>
    <col min="10" max="10" style="17" width="14.147857142857141" customWidth="1" bestFit="1"/>
    <col min="11" max="11" style="17" width="14.147857142857141" customWidth="1" bestFit="1"/>
    <col min="12" max="12" style="17" width="14.147857142857141" customWidth="1" bestFit="1"/>
    <col min="13" max="13" style="17" width="14.147857142857141" customWidth="1" bestFit="1"/>
    <col min="14" max="14" style="17" width="14.147857142857141" customWidth="1" bestFit="1"/>
    <col min="15" max="15" style="17" width="14.147857142857141" customWidth="1" bestFit="1"/>
    <col min="16" max="16" style="17" width="14.147857142857141" customWidth="1" bestFit="1"/>
    <col min="17" max="17" style="17" width="14.147857142857141" customWidth="1" bestFit="1"/>
    <col min="18" max="18" style="17" width="14.147857142857141" customWidth="1" bestFit="1"/>
    <col min="19" max="19" style="17" width="14.147857142857141" customWidth="1" bestFit="1"/>
    <col min="20" max="20" style="17" width="14.147857142857141" customWidth="1" bestFit="1"/>
    <col min="21" max="21" style="17" width="14.147857142857141" customWidth="1" bestFit="1"/>
    <col min="22" max="22" style="17" width="14.147857142857141" customWidth="1" bestFit="1"/>
    <col min="23" max="23" style="17" width="14.147857142857141" customWidth="1" bestFit="1"/>
    <col min="24" max="24" style="17" width="14.147857142857141" customWidth="1" bestFit="1"/>
    <col min="25" max="25" style="17" width="14.147857142857141" customWidth="1" bestFit="1"/>
    <col min="26" max="26" style="17" width="14.147857142857141" customWidth="1" bestFit="1"/>
    <col min="27" max="27" style="17" width="14.147857142857141" customWidth="1" bestFit="1"/>
    <col min="28" max="28" style="17" width="14.147857142857141" customWidth="1" bestFit="1"/>
    <col min="29" max="29" style="17" width="14.147857142857141" customWidth="1" bestFit="1"/>
    <col min="30" max="30" style="17" width="14.147857142857141" customWidth="1" bestFit="1"/>
    <col min="31" max="31" style="17" width="14.147857142857141" customWidth="1" bestFit="1"/>
    <col min="32" max="32" style="17" width="14.147857142857141" customWidth="1" bestFit="1"/>
    <col min="33" max="33" style="17" width="14.147857142857141" customWidth="1" bestFit="1"/>
    <col min="34" max="34" style="17" width="14.147857142857141" customWidth="1" bestFit="1"/>
    <col min="35" max="35" style="17" width="14.147857142857141" customWidth="1" bestFit="1"/>
    <col min="36" max="36" style="17" width="14.147857142857141" customWidth="1" bestFit="1"/>
    <col min="37" max="37" style="17" width="14.147857142857141" customWidth="1" bestFit="1"/>
    <col min="38" max="38" style="17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6" t="s">
        <v>36</v>
      </c>
      <c r="AL1" s="7" t="s">
        <v>37</v>
      </c>
    </row>
    <row x14ac:dyDescent="0.25" r="2" customHeight="1" ht="19.5">
      <c r="A2" s="3" t="s">
        <v>38</v>
      </c>
      <c r="B2" s="3" t="s">
        <v>39</v>
      </c>
      <c r="C2" s="3" t="s">
        <v>40</v>
      </c>
      <c r="D2" s="3" t="s">
        <v>41</v>
      </c>
      <c r="E2" s="8"/>
      <c r="F2" s="9">
        <v>2020</v>
      </c>
      <c r="G2" s="3" t="s">
        <v>42</v>
      </c>
      <c r="H2" s="10">
        <f>SUMIFS(Data!$S:$S,Data!$Q:$Q,"&gt;="&amp;DATE(OI[[#This Row], [YEAR]],H$1,1),Data!$Q:$Q,"&lt;="&amp;EOMONTH(DATE(OI[[#This Row], [YEAR]],H$1,1),0),Data!$G:$G,"&lt;&gt;"&amp;"*HYDRO*")</f>
      </c>
      <c r="I2" s="10">
        <f>SUMIFS(Data!$S:$S,Data!$Q:$Q,"&gt;="&amp;DATE(OI[[#This Row], [YEAR]],I$1,1),Data!$Q:$Q,"&lt;="&amp;EOMONTH(DATE(OI[[#This Row], [YEAR]],I$1,1),0),Data!$G:$G,"&lt;&gt;"&amp;"*HYDRO*")</f>
      </c>
      <c r="J2" s="10">
        <f>SUMIFS(Data!$S:$S,Data!$Q:$Q,"&gt;="&amp;DATE(OI[[#This Row], [YEAR]],J$1,1),Data!$Q:$Q,"&lt;="&amp;EOMONTH(DATE(OI[[#This Row], [YEAR]],J$1,1),0),Data!$G:$G,"&lt;&gt;"&amp;"*HYDRO*")</f>
      </c>
      <c r="K2" s="10">
        <f>SUMIFS(Data!$S:$S,Data!$Q:$Q,"&gt;="&amp;DATE(OI[[#This Row], [YEAR]],K$1,1),Data!$Q:$Q,"&lt;="&amp;EOMONTH(DATE(OI[[#This Row], [YEAR]],K$1,1),0),Data!$G:$G,"&lt;&gt;"&amp;"*HYDRO*")</f>
      </c>
      <c r="L2" s="10">
        <f>SUMIFS(Data!$S:$S,Data!$Q:$Q,"&gt;="&amp;DATE(OI[[#This Row], [YEAR]],L$1,1),Data!$Q:$Q,"&lt;="&amp;EOMONTH(DATE(OI[[#This Row], [YEAR]],L$1,1),0),Data!$G:$G,"&lt;&gt;"&amp;"*HYDRO*")</f>
      </c>
      <c r="M2" s="10">
        <f>SUMIFS(Data!$S:$S,Data!$Q:$Q,"&gt;="&amp;DATE(OI[[#This Row], [YEAR]],M$1,1),Data!$Q:$Q,"&lt;="&amp;EOMONTH(DATE(OI[[#This Row], [YEAR]],M$1,1),0),Data!$G:$G,"&lt;&gt;"&amp;"*HYDRO*")</f>
      </c>
      <c r="N2" s="10">
        <f>SUMIFS(Data!$S:$S,Data!$Q:$Q,"&gt;="&amp;DATE(OI[[#This Row], [YEAR]],N$1,1),Data!$Q:$Q,"&lt;="&amp;EOMONTH(DATE(OI[[#This Row], [YEAR]],N$1,1),0),Data!$G:$G,"&lt;&gt;"&amp;"*HYDRO*")</f>
      </c>
      <c r="O2" s="10">
        <f>SUMIFS(Data!$S:$S,Data!$Q:$Q,"&gt;="&amp;DATE(OI[[#This Row], [YEAR]],O$1,1),Data!$Q:$Q,"&lt;="&amp;EOMONTH(DATE(OI[[#This Row], [YEAR]],O$1,1),0),Data!$G:$G,"&lt;&gt;"&amp;"*HYDRO*")</f>
      </c>
      <c r="P2" s="10">
        <f>SUMIFS(Data!$S:$S,Data!$Q:$Q,"&gt;="&amp;DATE(OI[[#This Row], [YEAR]],P$1,1),Data!$Q:$Q,"&lt;="&amp;EOMONTH(DATE(OI[[#This Row], [YEAR]],P$1,1),0),Data!$G:$G,"&lt;&gt;"&amp;"*HYDRO*")</f>
      </c>
      <c r="Q2" s="10">
        <f>SUMIFS(Data!$S:$S,Data!$Q:$Q,"&gt;="&amp;DATE(OI[[#This Row], [YEAR]],Q$1,1),Data!$Q:$Q,"&lt;="&amp;EOMONTH(DATE(OI[[#This Row], [YEAR]],Q$1,1),0),Data!$G:$G,"&lt;&gt;"&amp;"*HYDRO*")</f>
      </c>
      <c r="R2" s="10">
        <f>SUMIFS(Data!$S:$S,Data!$Q:$Q,"&gt;="&amp;DATE(OI[[#This Row], [YEAR]],R$1,1),Data!$Q:$Q,"&lt;="&amp;EOMONTH(DATE(OI[[#This Row], [YEAR]],R$1,1),0),Data!$G:$G,"&lt;&gt;"&amp;"*HYDRO*")</f>
      </c>
      <c r="S2" s="10">
        <f>SUMIFS(Data!$S:$S,Data!$Q:$Q,"&gt;="&amp;DATE(OI[[#This Row], [YEAR]],S$1,1),Data!$Q:$Q,"&lt;="&amp;EOMONTH(DATE(OI[[#This Row], [YEAR]],S$1,1),0),Data!$G:$G,"&lt;&gt;"&amp;"*HYDRO*")</f>
      </c>
      <c r="T2" s="11">
        <f>SUM(OI[[#This Row], [1]])</f>
      </c>
      <c r="U2" s="11">
        <f>SUM(OI[[#This Row], [1]],OI[[#This Row], [2]])</f>
      </c>
      <c r="V2" s="11">
        <f>SUM(OI[[#This Row], [1]],OI[[#This Row], [2]],OI[[#This Row], [3]])</f>
      </c>
      <c r="W2" s="11">
        <f>SUM(OI[[#This Row], [1]],OI[[#This Row], [2]],OI[[#This Row], [3]],OI[[#This Row], [4]])</f>
      </c>
      <c r="X2" s="11">
        <f>SUM(OI[[#This Row], [1]],OI[[#This Row], [2]],OI[[#This Row], [3]],OI[[#This Row], [4]],OI[[#This Row], [5]])</f>
      </c>
      <c r="Y2" s="11">
        <f>SUM(OI[[#This Row], [1]],OI[[#This Row], [2]],OI[[#This Row], [3]],OI[[#This Row], [4]],OI[[#This Row], [5]],OI[[#This Row], [6]])</f>
      </c>
      <c r="Z2" s="11">
        <f>SUM(OI[[#This Row], [1]],OI[[#This Row], [2]],OI[[#This Row], [3]],OI[[#This Row], [4]],OI[[#This Row], [5]],OI[[#This Row], [6]],OI[[#This Row], [7]])</f>
      </c>
      <c r="AA2" s="11">
        <f>SUM(OI[[#This Row], [1]],OI[[#This Row], [2]],OI[[#This Row], [3]],OI[[#This Row], [4]],OI[[#This Row], [5]],OI[[#This Row], [6]],OI[[#This Row], [7]],OI[[#This Row], [8]])</f>
      </c>
      <c r="AB2" s="11">
        <f>SUM(OI[[#This Row], [1]],OI[[#This Row], [2]],OI[[#This Row], [3]],OI[[#This Row], [4]],OI[[#This Row], [5]],OI[[#This Row], [6]],OI[[#This Row], [7]],OI[[#This Row], [8]],OI[[#This Row], [9]])</f>
      </c>
      <c r="AC2" s="11">
        <f>SUM(OI[[#This Row], [1]],OI[[#This Row], [2]],OI[[#This Row], [3]],OI[[#This Row], [4]],OI[[#This Row], [5]],OI[[#This Row], [6]],OI[[#This Row], [7]],OI[[#This Row], [8]],OI[[#This Row], [9]],OI[[#This Row], [10]])</f>
      </c>
      <c r="AD2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2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2" s="11">
        <f>SUM(OI[[#This Row], [1]],OI[[#This Row], [2]],OI[[#This Row], [3]])</f>
      </c>
      <c r="AG2" s="11">
        <f>SUM(OI[[#This Row], [4]],OI[[#This Row], [5]],OI[[#This Row], [6]])</f>
      </c>
      <c r="AH2" s="11">
        <f>SUM(OI[[#This Row], [7]],OI[[#This Row], [8]],OI[[#This Row], [9]])</f>
      </c>
      <c r="AI2" s="11">
        <f>SUM(OI[[#This Row], [10]],OI[[#This Row], [11]],OI[[#This Row], [12]])</f>
      </c>
      <c r="AJ2" s="11">
        <f>SUM(OI[[#This Row], [1]],OI[[#This Row], [2]],OI[[#This Row], [3]],OI[[#This Row], [4]],OI[[#This Row], [5]],OI[[#This Row], [6]])</f>
      </c>
      <c r="AK2" s="12">
        <f>SUM(OI[[#This Row], [7]],OI[[#This Row], [8]],OI[[#This Row], [9]],OI[[#This Row], [10]],OI[[#This Row], [11]],OI[[#This Row], [12]])</f>
      </c>
      <c r="AL2" s="13">
        <f>"HYFR"</f>
      </c>
    </row>
    <row x14ac:dyDescent="0.25" r="3" customHeight="1" ht="19.5">
      <c r="A3" s="3" t="s">
        <v>38</v>
      </c>
      <c r="B3" s="3" t="s">
        <v>39</v>
      </c>
      <c r="C3" s="3" t="s">
        <v>40</v>
      </c>
      <c r="D3" s="3" t="s">
        <v>41</v>
      </c>
      <c r="E3" s="9">
        <v>1</v>
      </c>
      <c r="F3" s="9">
        <v>2020</v>
      </c>
      <c r="G3" s="3" t="s">
        <v>42</v>
      </c>
      <c r="H3" s="10">
        <f>SUMIFS(Data!$S:$S,Data!$Q:$Q,"&gt;="&amp;DATE(OI[[#This Row], [YEAR]],H$1,1),Data!$Q:$Q,"&lt;="&amp;EOMONTH(DATE(OI[[#This Row], [YEAR]],H$1,1),0),Data!$G:$G,"*HYDRO*")</f>
      </c>
      <c r="I3" s="10">
        <f>SUMIFS(Data!$S:$S,Data!$Q:$Q,"&gt;="&amp;DATE(OI[[#This Row], [YEAR]],I$1,1),Data!$Q:$Q,"&lt;="&amp;EOMONTH(DATE(OI[[#This Row], [YEAR]],I$1,1),0),Data!$G:$G,"*HYDRO*")</f>
      </c>
      <c r="J3" s="10">
        <f>SUMIFS(Data!$S:$S,Data!$Q:$Q,"&gt;="&amp;DATE(OI[[#This Row], [YEAR]],J$1,1),Data!$Q:$Q,"&lt;="&amp;EOMONTH(DATE(OI[[#This Row], [YEAR]],J$1,1),0),Data!$G:$G,"*HYDRO*")</f>
      </c>
      <c r="K3" s="10">
        <f>SUMIFS(Data!$S:$S,Data!$Q:$Q,"&gt;="&amp;DATE(OI[[#This Row], [YEAR]],K$1,1),Data!$Q:$Q,"&lt;="&amp;EOMONTH(DATE(OI[[#This Row], [YEAR]],K$1,1),0),Data!$G:$G,"*HYDRO*")</f>
      </c>
      <c r="L3" s="10">
        <f>SUMIFS(Data!$S:$S,Data!$Q:$Q,"&gt;="&amp;DATE(OI[[#This Row], [YEAR]],L$1,1),Data!$Q:$Q,"&lt;="&amp;EOMONTH(DATE(OI[[#This Row], [YEAR]],L$1,1),0),Data!$G:$G,"*HYDRO*")</f>
      </c>
      <c r="M3" s="10">
        <f>SUMIFS(Data!$S:$S,Data!$Q:$Q,"&gt;="&amp;DATE(OI[[#This Row], [YEAR]],M$1,1),Data!$Q:$Q,"&lt;="&amp;EOMONTH(DATE(OI[[#This Row], [YEAR]],M$1,1),0),Data!$G:$G,"*HYDRO*")</f>
      </c>
      <c r="N3" s="10">
        <f>SUMIFS(Data!$S:$S,Data!$Q:$Q,"&gt;="&amp;DATE(OI[[#This Row], [YEAR]],N$1,1),Data!$Q:$Q,"&lt;="&amp;EOMONTH(DATE(OI[[#This Row], [YEAR]],N$1,1),0),Data!$G:$G,"*HYDRO*")</f>
      </c>
      <c r="O3" s="10">
        <f>SUMIFS(Data!$S:$S,Data!$Q:$Q,"&gt;="&amp;DATE(OI[[#This Row], [YEAR]],O$1,1),Data!$Q:$Q,"&lt;="&amp;EOMONTH(DATE(OI[[#This Row], [YEAR]],O$1,1),0),Data!$G:$G,"*HYDRO*")</f>
      </c>
      <c r="P3" s="10">
        <f>SUMIFS(Data!$S:$S,Data!$Q:$Q,"&gt;="&amp;DATE(OI[[#This Row], [YEAR]],P$1,1),Data!$Q:$Q,"&lt;="&amp;EOMONTH(DATE(OI[[#This Row], [YEAR]],P$1,1),0),Data!$G:$G,"*HYDRO*")</f>
      </c>
      <c r="Q3" s="10">
        <f>SUMIFS(Data!$S:$S,Data!$Q:$Q,"&gt;="&amp;DATE(OI[[#This Row], [YEAR]],Q$1,1),Data!$Q:$Q,"&lt;="&amp;EOMONTH(DATE(OI[[#This Row], [YEAR]],Q$1,1),0),Data!$G:$G,"*HYDRO*")</f>
      </c>
      <c r="R3" s="10">
        <f>SUMIFS(Data!$S:$S,Data!$Q:$Q,"&gt;="&amp;DATE(OI[[#This Row], [YEAR]],R$1,1),Data!$Q:$Q,"&lt;="&amp;EOMONTH(DATE(OI[[#This Row], [YEAR]],R$1,1),0),Data!$G:$G,"*HYDRO*")</f>
      </c>
      <c r="S3" s="10">
        <f>SUMIFS(Data!$S:$S,Data!$Q:$Q,"&gt;="&amp;DATE(OI[[#This Row], [YEAR]],S$1,1),Data!$Q:$Q,"&lt;="&amp;EOMONTH(DATE(OI[[#This Row], [YEAR]],S$1,1),0),Data!$G:$G,"*HYDRO*")</f>
      </c>
      <c r="T3" s="14">
        <f>SUM(OI[[#This Row], [1]])</f>
      </c>
      <c r="U3" s="14">
        <f>SUM(OI[[#This Row], [1]],OI[[#This Row], [2]])</f>
      </c>
      <c r="V3" s="14">
        <f>SUM(OI[[#This Row], [1]],OI[[#This Row], [2]],OI[[#This Row], [3]])</f>
      </c>
      <c r="W3" s="14">
        <f>SUM(OI[[#This Row], [1]],OI[[#This Row], [2]],OI[[#This Row], [3]],OI[[#This Row], [4]])</f>
      </c>
      <c r="X3" s="14">
        <f>SUM(OI[[#This Row], [1]],OI[[#This Row], [2]],OI[[#This Row], [3]],OI[[#This Row], [4]],OI[[#This Row], [5]])</f>
      </c>
      <c r="Y3" s="14">
        <f>SUM(OI[[#This Row], [1]],OI[[#This Row], [2]],OI[[#This Row], [3]],OI[[#This Row], [4]],OI[[#This Row], [5]],OI[[#This Row], [6]])</f>
      </c>
      <c r="Z3" s="14">
        <f>SUM(OI[[#This Row], [1]],OI[[#This Row], [2]],OI[[#This Row], [3]],OI[[#This Row], [4]],OI[[#This Row], [5]],OI[[#This Row], [6]],OI[[#This Row], [7]])</f>
      </c>
      <c r="AA3" s="14">
        <f>SUM(OI[[#This Row], [1]],OI[[#This Row], [2]],OI[[#This Row], [3]],OI[[#This Row], [4]],OI[[#This Row], [5]],OI[[#This Row], [6]],OI[[#This Row], [7]],OI[[#This Row], [8]])</f>
      </c>
      <c r="AB3" s="14">
        <f>SUM(OI[[#This Row], [1]],OI[[#This Row], [2]],OI[[#This Row], [3]],OI[[#This Row], [4]],OI[[#This Row], [5]],OI[[#This Row], [6]],OI[[#This Row], [7]],OI[[#This Row], [8]],OI[[#This Row], [9]])</f>
      </c>
      <c r="AC3" s="14">
        <f>SUM(OI[[#This Row], [1]],OI[[#This Row], [2]],OI[[#This Row], [3]],OI[[#This Row], [4]],OI[[#This Row], [5]],OI[[#This Row], [6]],OI[[#This Row], [7]],OI[[#This Row], [8]],OI[[#This Row], [9]],OI[[#This Row], [10]])</f>
      </c>
      <c r="AD3" s="14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3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3" s="14">
        <f>SUM(OI[[#This Row], [1]],OI[[#This Row], [2]],OI[[#This Row], [3]])</f>
      </c>
      <c r="AG3" s="14">
        <f>SUM(OI[[#This Row], [4]],OI[[#This Row], [5]],OI[[#This Row], [6]])</f>
      </c>
      <c r="AH3" s="14">
        <f>SUM(OI[[#This Row], [7]],OI[[#This Row], [8]],OI[[#This Row], [9]])</f>
      </c>
      <c r="AI3" s="14">
        <f>SUM(OI[[#This Row], [10]],OI[[#This Row], [11]],OI[[#This Row], [12]])</f>
      </c>
      <c r="AJ3" s="14">
        <f>SUM(OI[[#This Row], [1]],OI[[#This Row], [2]],OI[[#This Row], [3]],OI[[#This Row], [4]],OI[[#This Row], [5]],OI[[#This Row], [6]])</f>
      </c>
      <c r="AK3" s="15">
        <f>SUM(OI[[#This Row], [7]],OI[[#This Row], [8]],OI[[#This Row], [9]],OI[[#This Row], [10]],OI[[#This Row], [11]],OI[[#This Row], [12]])</f>
      </c>
      <c r="AL3" s="11">
        <f>"HYFR"</f>
      </c>
    </row>
    <row x14ac:dyDescent="0.25" r="4" customHeight="1" ht="19.5">
      <c r="A4" s="3" t="s">
        <v>38</v>
      </c>
      <c r="B4" s="3" t="s">
        <v>39</v>
      </c>
      <c r="C4" s="3" t="s">
        <v>40</v>
      </c>
      <c r="D4" s="3" t="s">
        <v>41</v>
      </c>
      <c r="E4" s="8"/>
      <c r="F4" s="9">
        <v>2020</v>
      </c>
      <c r="G4" s="3" t="s">
        <v>43</v>
      </c>
      <c r="H4" s="10">
        <f>AIA!C4</f>
      </c>
      <c r="I4" s="10">
        <f>AIA!D4</f>
      </c>
      <c r="J4" s="10">
        <f>AIA!E4</f>
      </c>
      <c r="K4" s="10">
        <f>AIA!F4</f>
      </c>
      <c r="L4" s="10">
        <f>AIA!G4</f>
      </c>
      <c r="M4" s="10">
        <f>AIA!H4</f>
      </c>
      <c r="N4" s="10">
        <f>AIA!I4</f>
      </c>
      <c r="O4" s="10">
        <f>AIA!J4</f>
      </c>
      <c r="P4" s="10">
        <f>AIA!K4</f>
      </c>
      <c r="Q4" s="10">
        <f>AIA!L4</f>
      </c>
      <c r="R4" s="10">
        <f>AIA!M4</f>
      </c>
      <c r="S4" s="10">
        <f>AIA!N4</f>
      </c>
      <c r="T4" s="14">
        <f>SUM(OI[[#This Row], [1]])</f>
      </c>
      <c r="U4" s="14">
        <f>SUM(OI[[#This Row], [1]],OI[[#This Row], [2]])</f>
      </c>
      <c r="V4" s="14">
        <f>SUM(OI[[#This Row], [1]],OI[[#This Row], [2]],OI[[#This Row], [3]])</f>
      </c>
      <c r="W4" s="14">
        <f>SUM(OI[[#This Row], [1]],OI[[#This Row], [2]],OI[[#This Row], [3]],OI[[#This Row], [4]])</f>
      </c>
      <c r="X4" s="14">
        <f>SUM(OI[[#This Row], [1]],OI[[#This Row], [2]],OI[[#This Row], [3]],OI[[#This Row], [4]],OI[[#This Row], [5]])</f>
      </c>
      <c r="Y4" s="14">
        <f>SUM(OI[[#This Row], [1]],OI[[#This Row], [2]],OI[[#This Row], [3]],OI[[#This Row], [4]],OI[[#This Row], [5]],OI[[#This Row], [6]])</f>
      </c>
      <c r="Z4" s="14">
        <f>SUM(OI[[#This Row], [1]],OI[[#This Row], [2]],OI[[#This Row], [3]],OI[[#This Row], [4]],OI[[#This Row], [5]],OI[[#This Row], [6]],OI[[#This Row], [7]])</f>
      </c>
      <c r="AA4" s="14">
        <f>SUM(OI[[#This Row], [1]],OI[[#This Row], [2]],OI[[#This Row], [3]],OI[[#This Row], [4]],OI[[#This Row], [5]],OI[[#This Row], [6]],OI[[#This Row], [7]],OI[[#This Row], [8]])</f>
      </c>
      <c r="AB4" s="14">
        <f>SUM(OI[[#This Row], [1]],OI[[#This Row], [2]],OI[[#This Row], [3]],OI[[#This Row], [4]],OI[[#This Row], [5]],OI[[#This Row], [6]],OI[[#This Row], [7]],OI[[#This Row], [8]],OI[[#This Row], [9]])</f>
      </c>
      <c r="AC4" s="14">
        <f>SUM(OI[[#This Row], [1]],OI[[#This Row], [2]],OI[[#This Row], [3]],OI[[#This Row], [4]],OI[[#This Row], [5]],OI[[#This Row], [6]],OI[[#This Row], [7]],OI[[#This Row], [8]],OI[[#This Row], [9]],OI[[#This Row], [10]])</f>
      </c>
      <c r="AD4" s="14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4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4" s="14">
        <f>SUM(OI[[#This Row], [1]],OI[[#This Row], [2]],OI[[#This Row], [3]])</f>
      </c>
      <c r="AG4" s="14">
        <f>SUM(OI[[#This Row], [4]],OI[[#This Row], [5]],OI[[#This Row], [6]])</f>
      </c>
      <c r="AH4" s="14">
        <f>SUM(OI[[#This Row], [7]],OI[[#This Row], [8]],OI[[#This Row], [9]])</f>
      </c>
      <c r="AI4" s="14">
        <f>SUM(OI[[#This Row], [10]],OI[[#This Row], [11]],OI[[#This Row], [12]])</f>
      </c>
      <c r="AJ4" s="14">
        <f>SUM(OI[[#This Row], [1]],OI[[#This Row], [2]],OI[[#This Row], [3]],OI[[#This Row], [4]],OI[[#This Row], [5]],OI[[#This Row], [6]])</f>
      </c>
      <c r="AK4" s="15">
        <f>SUM(OI[[#This Row], [7]],OI[[#This Row], [8]],OI[[#This Row], [9]],OI[[#This Row], [10]],OI[[#This Row], [11]],OI[[#This Row], [12]])</f>
      </c>
      <c r="AL4" s="11">
        <f>"HYFR"</f>
      </c>
    </row>
    <row x14ac:dyDescent="0.25" r="5" customHeight="1" ht="19.5">
      <c r="A5" s="3" t="s">
        <v>38</v>
      </c>
      <c r="B5" s="3" t="s">
        <v>39</v>
      </c>
      <c r="C5" s="3" t="s">
        <v>40</v>
      </c>
      <c r="D5" s="3" t="s">
        <v>41</v>
      </c>
      <c r="E5" s="8"/>
      <c r="F5" s="9">
        <v>2020</v>
      </c>
      <c r="G5" s="3" t="s">
        <v>44</v>
      </c>
      <c r="H5" s="10">
        <f>AIA!C5</f>
      </c>
      <c r="I5" s="10">
        <f>AIA!D5</f>
      </c>
      <c r="J5" s="10">
        <f>AIA!E5</f>
      </c>
      <c r="K5" s="10">
        <f>AIA!F5</f>
      </c>
      <c r="L5" s="10">
        <f>AIA!G5</f>
      </c>
      <c r="M5" s="10">
        <f>AIA!H5</f>
      </c>
      <c r="N5" s="10">
        <f>AIA!I5</f>
      </c>
      <c r="O5" s="10">
        <f>AIA!J5</f>
      </c>
      <c r="P5" s="10">
        <f>AIA!K5</f>
      </c>
      <c r="Q5" s="10">
        <f>AIA!L5</f>
      </c>
      <c r="R5" s="10">
        <f>AIA!M5</f>
      </c>
      <c r="S5" s="10">
        <f>AIA!N5</f>
      </c>
      <c r="T5" s="14">
        <f>SUM(OI[[#This Row], [1]])</f>
      </c>
      <c r="U5" s="14">
        <f>SUM(OI[[#This Row], [1]],OI[[#This Row], [2]])</f>
      </c>
      <c r="V5" s="14">
        <f>SUM(OI[[#This Row], [1]],OI[[#This Row], [2]],OI[[#This Row], [3]])</f>
      </c>
      <c r="W5" s="14">
        <f>SUM(OI[[#This Row], [1]],OI[[#This Row], [2]],OI[[#This Row], [3]],OI[[#This Row], [4]])</f>
      </c>
      <c r="X5" s="14">
        <f>SUM(OI[[#This Row], [1]],OI[[#This Row], [2]],OI[[#This Row], [3]],OI[[#This Row], [4]],OI[[#This Row], [5]])</f>
      </c>
      <c r="Y5" s="14">
        <f>SUM(OI[[#This Row], [1]],OI[[#This Row], [2]],OI[[#This Row], [3]],OI[[#This Row], [4]],OI[[#This Row], [5]],OI[[#This Row], [6]])</f>
      </c>
      <c r="Z5" s="14">
        <f>SUM(OI[[#This Row], [1]],OI[[#This Row], [2]],OI[[#This Row], [3]],OI[[#This Row], [4]],OI[[#This Row], [5]],OI[[#This Row], [6]],OI[[#This Row], [7]])</f>
      </c>
      <c r="AA5" s="14">
        <f>SUM(OI[[#This Row], [1]],OI[[#This Row], [2]],OI[[#This Row], [3]],OI[[#This Row], [4]],OI[[#This Row], [5]],OI[[#This Row], [6]],OI[[#This Row], [7]],OI[[#This Row], [8]])</f>
      </c>
      <c r="AB5" s="14">
        <f>SUM(OI[[#This Row], [1]],OI[[#This Row], [2]],OI[[#This Row], [3]],OI[[#This Row], [4]],OI[[#This Row], [5]],OI[[#This Row], [6]],OI[[#This Row], [7]],OI[[#This Row], [8]],OI[[#This Row], [9]])</f>
      </c>
      <c r="AC5" s="14">
        <f>SUM(OI[[#This Row], [1]],OI[[#This Row], [2]],OI[[#This Row], [3]],OI[[#This Row], [4]],OI[[#This Row], [5]],OI[[#This Row], [6]],OI[[#This Row], [7]],OI[[#This Row], [8]],OI[[#This Row], [9]],OI[[#This Row], [10]])</f>
      </c>
      <c r="AD5" s="14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5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5" s="14">
        <f>SUM(OI[[#This Row], [1]],OI[[#This Row], [2]],OI[[#This Row], [3]])</f>
      </c>
      <c r="AG5" s="14">
        <f>SUM(OI[[#This Row], [4]],OI[[#This Row], [5]],OI[[#This Row], [6]])</f>
      </c>
      <c r="AH5" s="14">
        <f>SUM(OI[[#This Row], [7]],OI[[#This Row], [8]],OI[[#This Row], [9]])</f>
      </c>
      <c r="AI5" s="14">
        <f>SUM(OI[[#This Row], [10]],OI[[#This Row], [11]],OI[[#This Row], [12]])</f>
      </c>
      <c r="AJ5" s="14">
        <f>SUM(OI[[#This Row], [1]],OI[[#This Row], [2]],OI[[#This Row], [3]],OI[[#This Row], [4]],OI[[#This Row], [5]],OI[[#This Row], [6]])</f>
      </c>
      <c r="AK5" s="15">
        <f>SUM(OI[[#This Row], [7]],OI[[#This Row], [8]],OI[[#This Row], [9]],OI[[#This Row], [10]],OI[[#This Row], [11]],OI[[#This Row], [12]])</f>
      </c>
      <c r="AL5" s="11">
        <f>"HYFR"</f>
      </c>
    </row>
    <row x14ac:dyDescent="0.25" r="6" customHeight="1" ht="19.5">
      <c r="A6" s="3" t="s">
        <v>38</v>
      </c>
      <c r="B6" s="3" t="s">
        <v>39</v>
      </c>
      <c r="C6" s="3" t="s">
        <v>40</v>
      </c>
      <c r="D6" s="3" t="s">
        <v>45</v>
      </c>
      <c r="E6" s="8"/>
      <c r="F6" s="9">
        <v>2020</v>
      </c>
      <c r="G6" s="3" t="s">
        <v>42</v>
      </c>
      <c r="H6" s="10">
        <f>SUMIFS(Data!$AD:$AD,Data!$AC:$AC,"&gt;="&amp;DATE(OI[[#This Row], [YEAR]],H$1,1),Data!$AC:$AC,"&lt;="&amp;EOMONTH(DATE(OI[[#This Row], [YEAR]],H$1,1),0))</f>
      </c>
      <c r="I6" s="10">
        <f>SUMIFS(Data!$AD:$AD,Data!$AC:$AC,"&gt;="&amp;DATE(OI[[#This Row], [YEAR]],I$1,1),Data!$AC:$AC,"&lt;="&amp;EOMONTH(DATE(OI[[#This Row], [YEAR]],I$1,1),0))</f>
      </c>
      <c r="J6" s="10">
        <f>SUMIFS(Data!$AD:$AD,Data!$AC:$AC,"&gt;="&amp;DATE(OI[[#This Row], [YEAR]],J$1,1),Data!$AC:$AC,"&lt;="&amp;EOMONTH(DATE(OI[[#This Row], [YEAR]],J$1,1),0))</f>
      </c>
      <c r="K6" s="10">
        <f>SUMIFS(Data!$AD:$AD,Data!$AC:$AC,"&gt;="&amp;DATE(OI[[#This Row], [YEAR]],K$1,1),Data!$AC:$AC,"&lt;="&amp;EOMONTH(DATE(OI[[#This Row], [YEAR]],K$1,1),0))</f>
      </c>
      <c r="L6" s="10">
        <f>SUMIFS(Data!$AD:$AD,Data!$AC:$AC,"&gt;="&amp;DATE(OI[[#This Row], [YEAR]],L$1,1),Data!$AC:$AC,"&lt;="&amp;EOMONTH(DATE(OI[[#This Row], [YEAR]],L$1,1),0))</f>
      </c>
      <c r="M6" s="10">
        <f>SUMIFS(Data!$AD:$AD,Data!$AC:$AC,"&gt;="&amp;DATE(OI[[#This Row], [YEAR]],M$1,1),Data!$AC:$AC,"&lt;="&amp;EOMONTH(DATE(OI[[#This Row], [YEAR]],M$1,1),0))</f>
      </c>
      <c r="N6" s="10">
        <f>SUMIFS(Data!$AD:$AD,Data!$AC:$AC,"&gt;="&amp;DATE(OI[[#This Row], [YEAR]],N$1,1),Data!$AC:$AC,"&lt;="&amp;EOMONTH(DATE(OI[[#This Row], [YEAR]],N$1,1),0))</f>
      </c>
      <c r="O6" s="10">
        <f>SUMIFS(Data!$AD:$AD,Data!$AC:$AC,"&gt;="&amp;DATE(OI[[#This Row], [YEAR]],O$1,1),Data!$AC:$AC,"&lt;="&amp;EOMONTH(DATE(OI[[#This Row], [YEAR]],O$1,1),0))</f>
      </c>
      <c r="P6" s="10">
        <f>SUMIFS(Data!$AD:$AD,Data!$AC:$AC,"&gt;="&amp;DATE(OI[[#This Row], [YEAR]],P$1,1),Data!$AC:$AC,"&lt;="&amp;EOMONTH(DATE(OI[[#This Row], [YEAR]],P$1,1),0))</f>
      </c>
      <c r="Q6" s="10">
        <f>SUMIFS(Data!$AD:$AD,Data!$AC:$AC,"&gt;="&amp;DATE(OI[[#This Row], [YEAR]],Q$1,1),Data!$AC:$AC,"&lt;="&amp;EOMONTH(DATE(OI[[#This Row], [YEAR]],Q$1,1),0))</f>
      </c>
      <c r="R6" s="10">
        <f>SUMIFS(Data!$AD:$AD,Data!$AC:$AC,"&gt;="&amp;DATE(OI[[#This Row], [YEAR]],R$1,1),Data!$AC:$AC,"&lt;="&amp;EOMONTH(DATE(OI[[#This Row], [YEAR]],R$1,1),0))</f>
      </c>
      <c r="S6" s="10">
        <f>SUMIFS(Data!$AD:$AD,Data!$AC:$AC,"&gt;="&amp;DATE(OI[[#This Row], [YEAR]],S$1,1),Data!$AC:$AC,"&lt;="&amp;EOMONTH(DATE(OI[[#This Row], [YEAR]],S$1,1),0))</f>
      </c>
      <c r="T6" s="11">
        <f>SUM(OI[[#This Row], [1]])</f>
      </c>
      <c r="U6" s="11">
        <f>SUM(OI[[#This Row], [1]],OI[[#This Row], [2]])</f>
      </c>
      <c r="V6" s="11">
        <f>SUM(OI[[#This Row], [1]],OI[[#This Row], [2]],OI[[#This Row], [3]])</f>
      </c>
      <c r="W6" s="11">
        <f>SUM(OI[[#This Row], [1]],OI[[#This Row], [2]],OI[[#This Row], [3]],OI[[#This Row], [4]])</f>
      </c>
      <c r="X6" s="11">
        <f>SUM(OI[[#This Row], [1]],OI[[#This Row], [2]],OI[[#This Row], [3]],OI[[#This Row], [4]],OI[[#This Row], [5]])</f>
      </c>
      <c r="Y6" s="11">
        <f>SUM(OI[[#This Row], [1]],OI[[#This Row], [2]],OI[[#This Row], [3]],OI[[#This Row], [4]],OI[[#This Row], [5]],OI[[#This Row], [6]])</f>
      </c>
      <c r="Z6" s="11">
        <f>SUM(OI[[#This Row], [1]],OI[[#This Row], [2]],OI[[#This Row], [3]],OI[[#This Row], [4]],OI[[#This Row], [5]],OI[[#This Row], [6]],OI[[#This Row], [7]])</f>
      </c>
      <c r="AA6" s="11">
        <f>SUM(OI[[#This Row], [1]],OI[[#This Row], [2]],OI[[#This Row], [3]],OI[[#This Row], [4]],OI[[#This Row], [5]],OI[[#This Row], [6]],OI[[#This Row], [7]],OI[[#This Row], [8]])</f>
      </c>
      <c r="AB6" s="11">
        <f>SUM(OI[[#This Row], [1]],OI[[#This Row], [2]],OI[[#This Row], [3]],OI[[#This Row], [4]],OI[[#This Row], [5]],OI[[#This Row], [6]],OI[[#This Row], [7]],OI[[#This Row], [8]],OI[[#This Row], [9]])</f>
      </c>
      <c r="AC6" s="11">
        <f>SUM(OI[[#This Row], [1]],OI[[#This Row], [2]],OI[[#This Row], [3]],OI[[#This Row], [4]],OI[[#This Row], [5]],OI[[#This Row], [6]],OI[[#This Row], [7]],OI[[#This Row], [8]],OI[[#This Row], [9]],OI[[#This Row], [10]])</f>
      </c>
      <c r="AD6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6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6" s="11">
        <f>SUM(OI[[#This Row], [1]],OI[[#This Row], [2]],OI[[#This Row], [3]])</f>
      </c>
      <c r="AG6" s="11">
        <f>SUM(OI[[#This Row], [4]],OI[[#This Row], [5]],OI[[#This Row], [6]])</f>
      </c>
      <c r="AH6" s="11">
        <f>SUM(OI[[#This Row], [7]],OI[[#This Row], [8]],OI[[#This Row], [9]])</f>
      </c>
      <c r="AI6" s="11">
        <f>SUM(OI[[#This Row], [10]],OI[[#This Row], [11]],OI[[#This Row], [12]])</f>
      </c>
      <c r="AJ6" s="11">
        <f>SUM(OI[[#This Row], [1]],OI[[#This Row], [2]],OI[[#This Row], [3]],OI[[#This Row], [4]],OI[[#This Row], [5]],OI[[#This Row], [6]])</f>
      </c>
      <c r="AK6" s="12">
        <f>SUM(OI[[#This Row], [7]],OI[[#This Row], [8]],OI[[#This Row], [9]],OI[[#This Row], [10]],OI[[#This Row], [11]],OI[[#This Row], [12]])</f>
      </c>
      <c r="AL6" s="11">
        <f>"HYFR"</f>
      </c>
    </row>
    <row x14ac:dyDescent="0.25" r="7" customHeight="1" ht="19.5">
      <c r="A7" s="3" t="s">
        <v>38</v>
      </c>
      <c r="B7" s="3" t="s">
        <v>39</v>
      </c>
      <c r="C7" s="3" t="s">
        <v>40</v>
      </c>
      <c r="D7" s="3" t="s">
        <v>45</v>
      </c>
      <c r="E7" s="8"/>
      <c r="F7" s="9">
        <v>2020</v>
      </c>
      <c r="G7" s="3" t="s">
        <v>42</v>
      </c>
      <c r="H7" s="10">
        <f>SUMIFS(Data!$AD:$AD,Data!$AC:$AC,"&gt;="&amp;DATE(OI[[#This Row], [YEAR]],H$1,1),Data!$AC:$AC,"&lt;="&amp;EOMONTH(DATE(OI[[#This Row], [YEAR]],H$1,1),0),Data!$G:$G,"*HYDRO*")</f>
      </c>
      <c r="I7" s="10">
        <f>SUMIFS(Data!$AD:$AD,Data!$AC:$AC,"&gt;="&amp;DATE(OI[[#This Row], [PG]],I$1,1),Data!$AC:$AC,"&lt;="&amp;EOMONTH(DATE(OI[[#This Row], [PG]],I$1,1),0),Data!$G:$G,"*HYDRO*")</f>
      </c>
      <c r="J7" s="10">
        <f>SUMIFS(Data!$AD:$AD,Data!$AC:$AC,"&gt;="&amp;DATE(OI[[#This Row], [1]],J$1,1),Data!$AC:$AC,"&lt;="&amp;EOMONTH(DATE(OI[[#This Row], [1]],J$1,1),0),Data!$G:$G,"*HYDRO*")</f>
      </c>
      <c r="K7" s="10">
        <f>SUMIFS(Data!$AD:$AD,Data!$AC:$AC,"&gt;="&amp;DATE(OI[[#This Row], [2]],K$1,1),Data!$AC:$AC,"&lt;="&amp;EOMONTH(DATE(OI[[#This Row], [2]],K$1,1),0),Data!$G:$G,"*HYDRO*")</f>
      </c>
      <c r="L7" s="10">
        <f>SUMIFS(Data!$AD:$AD,Data!$AC:$AC,"&gt;="&amp;DATE(OI[[#This Row], [3]],L$1,1),Data!$AC:$AC,"&lt;="&amp;EOMONTH(DATE(OI[[#This Row], [3]],L$1,1),0),Data!$G:$G,"*HYDRO*")</f>
      </c>
      <c r="M7" s="10">
        <f>SUMIFS(Data!$AD:$AD,Data!$AC:$AC,"&gt;="&amp;DATE(OI[[#This Row], [4]],M$1,1),Data!$AC:$AC,"&lt;="&amp;EOMONTH(DATE(OI[[#This Row], [4]],M$1,1),0),Data!$G:$G,"*HYDRO*")</f>
      </c>
      <c r="N7" s="10">
        <f>SUMIFS(Data!$AD:$AD,Data!$AC:$AC,"&gt;="&amp;DATE(OI[[#This Row], [5]],N$1,1),Data!$AC:$AC,"&lt;="&amp;EOMONTH(DATE(OI[[#This Row], [5]],N$1,1),0),Data!$G:$G,"*HYDRO*")</f>
      </c>
      <c r="O7" s="10">
        <f>SUMIFS(Data!$AD:$AD,Data!$AC:$AC,"&gt;="&amp;DATE(OI[[#This Row], [6]],O$1,1),Data!$AC:$AC,"&lt;="&amp;EOMONTH(DATE(OI[[#This Row], [6]],O$1,1),0),Data!$G:$G,"*HYDRO*")</f>
      </c>
      <c r="P7" s="10">
        <f>SUMIFS(Data!$AD:$AD,Data!$AC:$AC,"&gt;="&amp;DATE(OI[[#This Row], [7]],P$1,1),Data!$AC:$AC,"&lt;="&amp;EOMONTH(DATE(OI[[#This Row], [7]],P$1,1),0),Data!$G:$G,"*HYDRO*")</f>
      </c>
      <c r="Q7" s="10">
        <f>SUMIFS(Data!$AD:$AD,Data!$AC:$AC,"&gt;="&amp;DATE(OI[[#This Row], [8]],Q$1,1),Data!$AC:$AC,"&lt;="&amp;EOMONTH(DATE(OI[[#This Row], [8]],Q$1,1),0),Data!$G:$G,"*HYDRO*")</f>
      </c>
      <c r="R7" s="10">
        <f>SUMIFS(Data!$AD:$AD,Data!$AC:$AC,"&gt;="&amp;DATE(OI[[#This Row], [9]],R$1,1),Data!$AC:$AC,"&lt;="&amp;EOMONTH(DATE(OI[[#This Row], [9]],R$1,1),0),Data!$G:$G,"*HYDRO*")</f>
      </c>
      <c r="S7" s="10">
        <f>SUMIFS(Data!$AD:$AD,Data!$AC:$AC,"&gt;="&amp;DATE(OI[[#This Row], [10]],S$1,1),Data!$AC:$AC,"&lt;="&amp;EOMONTH(DATE(OI[[#This Row], [10]],S$1,1),0),Data!$G:$G,"*HYDRO*")</f>
      </c>
      <c r="T7" s="11">
        <f>SUM(OI[[#This Row], [1]])</f>
      </c>
      <c r="U7" s="11">
        <f>SUM(OI[[#This Row], [1]],OI[[#This Row], [2]])</f>
      </c>
      <c r="V7" s="11">
        <f>SUM(OI[[#This Row], [1]],OI[[#This Row], [2]],OI[[#This Row], [3]])</f>
      </c>
      <c r="W7" s="11">
        <f>SUM(OI[[#This Row], [1]],OI[[#This Row], [2]],OI[[#This Row], [3]],OI[[#This Row], [4]])</f>
      </c>
      <c r="X7" s="11">
        <f>SUM(OI[[#This Row], [1]],OI[[#This Row], [2]],OI[[#This Row], [3]],OI[[#This Row], [4]],OI[[#This Row], [5]])</f>
      </c>
      <c r="Y7" s="11">
        <f>SUM(OI[[#This Row], [1]],OI[[#This Row], [2]],OI[[#This Row], [3]],OI[[#This Row], [4]],OI[[#This Row], [5]],OI[[#This Row], [6]])</f>
      </c>
      <c r="Z7" s="11">
        <f>SUM(OI[[#This Row], [1]],OI[[#This Row], [2]],OI[[#This Row], [3]],OI[[#This Row], [4]],OI[[#This Row], [5]],OI[[#This Row], [6]],OI[[#This Row], [7]])</f>
      </c>
      <c r="AA7" s="11">
        <f>SUM(OI[[#This Row], [1]],OI[[#This Row], [2]],OI[[#This Row], [3]],OI[[#This Row], [4]],OI[[#This Row], [5]],OI[[#This Row], [6]],OI[[#This Row], [7]],OI[[#This Row], [8]])</f>
      </c>
      <c r="AB7" s="11">
        <f>SUM(OI[[#This Row], [1]],OI[[#This Row], [2]],OI[[#This Row], [3]],OI[[#This Row], [4]],OI[[#This Row], [5]],OI[[#This Row], [6]],OI[[#This Row], [7]],OI[[#This Row], [8]],OI[[#This Row], [9]])</f>
      </c>
      <c r="AC7" s="11">
        <f>SUM(OI[[#This Row], [1]],OI[[#This Row], [2]],OI[[#This Row], [3]],OI[[#This Row], [4]],OI[[#This Row], [5]],OI[[#This Row], [6]],OI[[#This Row], [7]],OI[[#This Row], [8]],OI[[#This Row], [9]],OI[[#This Row], [10]])</f>
      </c>
      <c r="AD7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7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7" s="11">
        <f>SUM(OI[[#This Row], [1]],OI[[#This Row], [2]],OI[[#This Row], [3]])</f>
      </c>
      <c r="AG7" s="11">
        <f>SUM(OI[[#This Row], [4]],OI[[#This Row], [5]],OI[[#This Row], [6]])</f>
      </c>
      <c r="AH7" s="11">
        <f>SUM(OI[[#This Row], [7]],OI[[#This Row], [8]],OI[[#This Row], [9]])</f>
      </c>
      <c r="AI7" s="11">
        <f>SUM(OI[[#This Row], [10]],OI[[#This Row], [11]],OI[[#This Row], [12]])</f>
      </c>
      <c r="AJ7" s="11">
        <f>SUM(OI[[#This Row], [1]],OI[[#This Row], [2]],OI[[#This Row], [3]],OI[[#This Row], [4]],OI[[#This Row], [5]],OI[[#This Row], [6]])</f>
      </c>
      <c r="AK7" s="12">
        <f>SUM(OI[[#This Row], [7]],OI[[#This Row], [8]],OI[[#This Row], [9]],OI[[#This Row], [10]],OI[[#This Row], [11]],OI[[#This Row], [12]])</f>
      </c>
      <c r="AL7" s="11">
        <f>"HYFR"</f>
      </c>
    </row>
    <row x14ac:dyDescent="0.25" r="8" customHeight="1" ht="19.5">
      <c r="A8" s="3" t="s">
        <v>38</v>
      </c>
      <c r="B8" s="3" t="s">
        <v>39</v>
      </c>
      <c r="C8" s="3" t="s">
        <v>40</v>
      </c>
      <c r="D8" s="3" t="s">
        <v>45</v>
      </c>
      <c r="E8" s="8"/>
      <c r="F8" s="9">
        <v>2020</v>
      </c>
      <c r="G8" s="3" t="s">
        <v>43</v>
      </c>
      <c r="H8" s="10">
        <f>AIA!C6</f>
      </c>
      <c r="I8" s="10">
        <f>AIA!D6</f>
      </c>
      <c r="J8" s="10">
        <f>AIA!E6</f>
      </c>
      <c r="K8" s="10">
        <f>AIA!F6</f>
      </c>
      <c r="L8" s="10">
        <f>AIA!G6</f>
      </c>
      <c r="M8" s="10">
        <f>AIA!H6</f>
      </c>
      <c r="N8" s="10">
        <f>AIA!I6</f>
      </c>
      <c r="O8" s="10">
        <f>AIA!J6</f>
      </c>
      <c r="P8" s="10">
        <f>AIA!K6</f>
      </c>
      <c r="Q8" s="10">
        <f>AIA!L6</f>
      </c>
      <c r="R8" s="10">
        <f>AIA!M6</f>
      </c>
      <c r="S8" s="10">
        <f>AIA!N6</f>
      </c>
      <c r="T8" s="11">
        <f>SUM(OI[[#This Row], [1]])</f>
      </c>
      <c r="U8" s="11">
        <f>SUM(OI[[#This Row], [1]],OI[[#This Row], [2]])</f>
      </c>
      <c r="V8" s="11">
        <f>SUM(OI[[#This Row], [1]],OI[[#This Row], [2]],OI[[#This Row], [3]])</f>
      </c>
      <c r="W8" s="11">
        <f>SUM(OI[[#This Row], [1]],OI[[#This Row], [2]],OI[[#This Row], [3]],OI[[#This Row], [4]])</f>
      </c>
      <c r="X8" s="11">
        <f>SUM(OI[[#This Row], [1]],OI[[#This Row], [2]],OI[[#This Row], [3]],OI[[#This Row], [4]],OI[[#This Row], [5]])</f>
      </c>
      <c r="Y8" s="11">
        <f>SUM(OI[[#This Row], [1]],OI[[#This Row], [2]],OI[[#This Row], [3]],OI[[#This Row], [4]],OI[[#This Row], [5]],OI[[#This Row], [6]])</f>
      </c>
      <c r="Z8" s="11">
        <f>SUM(OI[[#This Row], [1]],OI[[#This Row], [2]],OI[[#This Row], [3]],OI[[#This Row], [4]],OI[[#This Row], [5]],OI[[#This Row], [6]],OI[[#This Row], [7]])</f>
      </c>
      <c r="AA8" s="11">
        <f>SUM(OI[[#This Row], [1]],OI[[#This Row], [2]],OI[[#This Row], [3]],OI[[#This Row], [4]],OI[[#This Row], [5]],OI[[#This Row], [6]],OI[[#This Row], [7]],OI[[#This Row], [8]])</f>
      </c>
      <c r="AB8" s="11">
        <f>SUM(OI[[#This Row], [1]],OI[[#This Row], [2]],OI[[#This Row], [3]],OI[[#This Row], [4]],OI[[#This Row], [5]],OI[[#This Row], [6]],OI[[#This Row], [7]],OI[[#This Row], [8]],OI[[#This Row], [9]])</f>
      </c>
      <c r="AC8" s="11">
        <f>SUM(OI[[#This Row], [1]],OI[[#This Row], [2]],OI[[#This Row], [3]],OI[[#This Row], [4]],OI[[#This Row], [5]],OI[[#This Row], [6]],OI[[#This Row], [7]],OI[[#This Row], [8]],OI[[#This Row], [9]],OI[[#This Row], [10]])</f>
      </c>
      <c r="AD8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8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8" s="11">
        <f>SUM(OI[[#This Row], [1]],OI[[#This Row], [2]],OI[[#This Row], [3]])</f>
      </c>
      <c r="AG8" s="11">
        <f>SUM(OI[[#This Row], [4]],OI[[#This Row], [5]],OI[[#This Row], [6]])</f>
      </c>
      <c r="AH8" s="11">
        <f>SUM(OI[[#This Row], [7]],OI[[#This Row], [8]],OI[[#This Row], [9]])</f>
      </c>
      <c r="AI8" s="11">
        <f>SUM(OI[[#This Row], [10]],OI[[#This Row], [11]],OI[[#This Row], [12]])</f>
      </c>
      <c r="AJ8" s="11">
        <f>SUM(OI[[#This Row], [1]],OI[[#This Row], [2]],OI[[#This Row], [3]],OI[[#This Row], [4]],OI[[#This Row], [5]],OI[[#This Row], [6]])</f>
      </c>
      <c r="AK8" s="12">
        <f>SUM(OI[[#This Row], [7]],OI[[#This Row], [8]],OI[[#This Row], [9]],OI[[#This Row], [10]],OI[[#This Row], [11]],OI[[#This Row], [12]])</f>
      </c>
      <c r="AL8" s="11">
        <f>"HYFR"</f>
      </c>
    </row>
    <row x14ac:dyDescent="0.25" r="9" customHeight="1" ht="19.5">
      <c r="A9" s="3" t="s">
        <v>38</v>
      </c>
      <c r="B9" s="3" t="s">
        <v>39</v>
      </c>
      <c r="C9" s="3" t="s">
        <v>40</v>
      </c>
      <c r="D9" s="3" t="s">
        <v>45</v>
      </c>
      <c r="E9" s="8"/>
      <c r="F9" s="9">
        <v>2020</v>
      </c>
      <c r="G9" s="3" t="s">
        <v>44</v>
      </c>
      <c r="H9" s="10">
        <f>AIA!C7</f>
      </c>
      <c r="I9" s="10">
        <f>AIA!D7</f>
      </c>
      <c r="J9" s="10">
        <f>AIA!E7</f>
      </c>
      <c r="K9" s="10">
        <f>AIA!F7</f>
      </c>
      <c r="L9" s="10">
        <f>AIA!G7</f>
      </c>
      <c r="M9" s="10">
        <f>AIA!H7</f>
      </c>
      <c r="N9" s="10">
        <f>AIA!I7</f>
      </c>
      <c r="O9" s="10">
        <f>AIA!J7</f>
      </c>
      <c r="P9" s="10">
        <f>AIA!K7</f>
      </c>
      <c r="Q9" s="10">
        <f>AIA!L7</f>
      </c>
      <c r="R9" s="10">
        <f>AIA!M7</f>
      </c>
      <c r="S9" s="10">
        <f>AIA!N7</f>
      </c>
      <c r="T9" s="14">
        <f>SUM(OI[[#This Row], [1]])</f>
      </c>
      <c r="U9" s="14">
        <f>SUM(OI[[#This Row], [1]],OI[[#This Row], [2]])</f>
      </c>
      <c r="V9" s="14">
        <f>SUM(OI[[#This Row], [1]],OI[[#This Row], [2]],OI[[#This Row], [3]])</f>
      </c>
      <c r="W9" s="14">
        <f>SUM(OI[[#This Row], [1]],OI[[#This Row], [2]],OI[[#This Row], [3]],OI[[#This Row], [4]])</f>
      </c>
      <c r="X9" s="14">
        <f>SUM(OI[[#This Row], [1]],OI[[#This Row], [2]],OI[[#This Row], [3]],OI[[#This Row], [4]],OI[[#This Row], [5]])</f>
      </c>
      <c r="Y9" s="14">
        <f>SUM(OI[[#This Row], [1]],OI[[#This Row], [2]],OI[[#This Row], [3]],OI[[#This Row], [4]],OI[[#This Row], [5]],OI[[#This Row], [6]])</f>
      </c>
      <c r="Z9" s="14">
        <f>SUM(OI[[#This Row], [1]],OI[[#This Row], [2]],OI[[#This Row], [3]],OI[[#This Row], [4]],OI[[#This Row], [5]],OI[[#This Row], [6]],OI[[#This Row], [7]])</f>
      </c>
      <c r="AA9" s="14">
        <f>SUM(OI[[#This Row], [1]],OI[[#This Row], [2]],OI[[#This Row], [3]],OI[[#This Row], [4]],OI[[#This Row], [5]],OI[[#This Row], [6]],OI[[#This Row], [7]],OI[[#This Row], [8]])</f>
      </c>
      <c r="AB9" s="14">
        <f>SUM(OI[[#This Row], [1]],OI[[#This Row], [2]],OI[[#This Row], [3]],OI[[#This Row], [4]],OI[[#This Row], [5]],OI[[#This Row], [6]],OI[[#This Row], [7]],OI[[#This Row], [8]],OI[[#This Row], [9]])</f>
      </c>
      <c r="AC9" s="14">
        <f>SUM(OI[[#This Row], [1]],OI[[#This Row], [2]],OI[[#This Row], [3]],OI[[#This Row], [4]],OI[[#This Row], [5]],OI[[#This Row], [6]],OI[[#This Row], [7]],OI[[#This Row], [8]],OI[[#This Row], [9]],OI[[#This Row], [10]])</f>
      </c>
      <c r="AD9" s="14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9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9" s="14">
        <f>SUM(OI[[#This Row], [1]],OI[[#This Row], [2]],OI[[#This Row], [3]])</f>
      </c>
      <c r="AG9" s="14">
        <f>SUM(OI[[#This Row], [4]],OI[[#This Row], [5]],OI[[#This Row], [6]])</f>
      </c>
      <c r="AH9" s="14">
        <f>SUM(OI[[#This Row], [7]],OI[[#This Row], [8]],OI[[#This Row], [9]])</f>
      </c>
      <c r="AI9" s="14">
        <f>SUM(OI[[#This Row], [10]],OI[[#This Row], [11]],OI[[#This Row], [12]])</f>
      </c>
      <c r="AJ9" s="14">
        <f>SUM(OI[[#This Row], [1]],OI[[#This Row], [2]],OI[[#This Row], [3]],OI[[#This Row], [4]],OI[[#This Row], [5]],OI[[#This Row], [6]])</f>
      </c>
      <c r="AK9" s="15">
        <f>SUM(OI[[#This Row], [7]],OI[[#This Row], [8]],OI[[#This Row], [9]],OI[[#This Row], [10]],OI[[#This Row], [11]],OI[[#This Row], [12]])</f>
      </c>
      <c r="AL9" s="11">
        <f>"HYFR"</f>
      </c>
    </row>
    <row x14ac:dyDescent="0.25" r="10" customHeight="1" ht="19.5">
      <c r="A10" s="3" t="s">
        <v>38</v>
      </c>
      <c r="B10" s="3" t="s">
        <v>39</v>
      </c>
      <c r="C10" s="3" t="s">
        <v>40</v>
      </c>
      <c r="D10" s="3" t="s">
        <v>46</v>
      </c>
      <c r="E10" s="8"/>
      <c r="F10" s="8">
        <f>RIGHT(AIA!B1,4)*1</f>
      </c>
      <c r="G10" s="3" t="s">
        <v>42</v>
      </c>
      <c r="H10" s="10">
        <f>IF(OI[[#This Row], [YEAR]]&lt;&gt;2020,"",SUMIFS(Data!$S:$S,Data!$Q:$Q,"&lt;"&amp;DATE(OI[[#This Row], [YEAR]],1,1))+H2-H6)</f>
      </c>
      <c r="I10" s="10">
        <f>IF(OI[[#This Row], [PG]]&lt;&gt;2020,"",SUMIFS(Data!$S:$S,Data!$Q:$Q,"&lt;"&amp;DATE(OI[[#This Row], [PG]],1,1))+I2-I6)</f>
      </c>
      <c r="J10" s="10">
        <f>IF(OI[[#This Row], [1]]&lt;&gt;2020,"",SUMIFS(Data!$S:$S,Data!$Q:$Q,"&lt;"&amp;DATE(OI[[#This Row], [1]],1,1))+J2-J6)</f>
      </c>
      <c r="K10" s="10">
        <f>IF(OI[[#This Row], [2]]&lt;&gt;2020,"",SUMIFS(Data!$S:$S,Data!$Q:$Q,"&lt;"&amp;DATE(OI[[#This Row], [2]],1,1))+K2-K6)</f>
      </c>
      <c r="L10" s="10">
        <f>IF(OI[[#This Row], [3]]&lt;&gt;2020,"",SUMIFS(Data!$S:$S,Data!$Q:$Q,"&lt;"&amp;DATE(OI[[#This Row], [3]],1,1))+L2-L6)</f>
      </c>
      <c r="M10" s="10">
        <f>IF(OI[[#This Row], [4]]&lt;&gt;2020,"",SUMIFS(Data!$S:$S,Data!$Q:$Q,"&lt;"&amp;DATE(OI[[#This Row], [4]],1,1))+M2-M6)</f>
      </c>
      <c r="N10" s="10">
        <f>IF(OI[[#This Row], [5]]&lt;&gt;2020,"",SUMIFS(Data!$S:$S,Data!$Q:$Q,"&lt;"&amp;DATE(OI[[#This Row], [5]],1,1))+N2-N6)</f>
      </c>
      <c r="O10" s="10">
        <f>IF(OI[[#This Row], [6]]&lt;&gt;2020,"",SUMIFS(Data!$S:$S,Data!$Q:$Q,"&lt;"&amp;DATE(OI[[#This Row], [6]],1,1))+O2-O6)</f>
      </c>
      <c r="P10" s="10">
        <f>IF(OI[[#This Row], [7]]&lt;&gt;2020,"",SUMIFS(Data!$S:$S,Data!$Q:$Q,"&lt;"&amp;DATE(OI[[#This Row], [7]],1,1))+P2-P6)</f>
      </c>
      <c r="Q10" s="10">
        <f>IF(OI[[#This Row], [8]]&lt;&gt;2020,"",SUMIFS(Data!$S:$S,Data!$Q:$Q,"&lt;"&amp;DATE(OI[[#This Row], [8]],1,1))+Q2-Q6)</f>
      </c>
      <c r="R10" s="10">
        <f>IF(OI[[#This Row], [9]]&lt;&gt;2020,"",SUMIFS(Data!$S:$S,Data!$Q:$Q,"&lt;"&amp;DATE(OI[[#This Row], [9]],1,1))+R2-R6)</f>
      </c>
      <c r="S10" s="10">
        <f>IF(OI[[#This Row], [10]]&lt;&gt;2020,"",SUMIFS(Data!$S:$S,Data!$Q:$Q,"&lt;"&amp;DATE(OI[[#This Row], [10]],1,1))+S2-S6)</f>
      </c>
      <c r="T10" s="11">
        <f>SUM(OI[[#This Row], [1]])</f>
      </c>
      <c r="U10" s="11">
        <f>SUM(OI[[#This Row], [1]],OI[[#This Row], [2]])</f>
      </c>
      <c r="V10" s="11">
        <f>SUM(OI[[#This Row], [1]],OI[[#This Row], [2]],OI[[#This Row], [3]])</f>
      </c>
      <c r="W10" s="11">
        <f>SUM(OI[[#This Row], [1]],OI[[#This Row], [2]],OI[[#This Row], [3]],OI[[#This Row], [4]])</f>
      </c>
      <c r="X10" s="11">
        <f>SUM(OI[[#This Row], [1]],OI[[#This Row], [2]],OI[[#This Row], [3]],OI[[#This Row], [4]],OI[[#This Row], [5]])</f>
      </c>
      <c r="Y10" s="11">
        <f>SUM(OI[[#This Row], [1]],OI[[#This Row], [2]],OI[[#This Row], [3]],OI[[#This Row], [4]],OI[[#This Row], [5]],OI[[#This Row], [6]])</f>
      </c>
      <c r="Z10" s="11">
        <f>SUM(OI[[#This Row], [1]],OI[[#This Row], [2]],OI[[#This Row], [3]],OI[[#This Row], [4]],OI[[#This Row], [5]],OI[[#This Row], [6]],OI[[#This Row], [7]])</f>
      </c>
      <c r="AA10" s="11">
        <f>SUM(OI[[#This Row], [1]],OI[[#This Row], [2]],OI[[#This Row], [3]],OI[[#This Row], [4]],OI[[#This Row], [5]],OI[[#This Row], [6]],OI[[#This Row], [7]],OI[[#This Row], [8]])</f>
      </c>
      <c r="AB10" s="11">
        <f>SUM(OI[[#This Row], [1]],OI[[#This Row], [2]],OI[[#This Row], [3]],OI[[#This Row], [4]],OI[[#This Row], [5]],OI[[#This Row], [6]],OI[[#This Row], [7]],OI[[#This Row], [8]],OI[[#This Row], [9]])</f>
      </c>
      <c r="AC10" s="11">
        <f>SUM(OI[[#This Row], [1]],OI[[#This Row], [2]],OI[[#This Row], [3]],OI[[#This Row], [4]],OI[[#This Row], [5]],OI[[#This Row], [6]],OI[[#This Row], [7]],OI[[#This Row], [8]],OI[[#This Row], [9]],OI[[#This Row], [10]])</f>
      </c>
      <c r="AD10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10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10" s="11">
        <f>SUM(OI[[#This Row], [1]],OI[[#This Row], [2]],OI[[#This Row], [3]])</f>
      </c>
      <c r="AG10" s="11">
        <f>SUM(OI[[#This Row], [4]],OI[[#This Row], [5]],OI[[#This Row], [6]])</f>
      </c>
      <c r="AH10" s="11">
        <f>SUM(OI[[#This Row], [7]],OI[[#This Row], [8]],OI[[#This Row], [9]])</f>
      </c>
      <c r="AI10" s="11">
        <f>SUM(OI[[#This Row], [10]],OI[[#This Row], [11]],OI[[#This Row], [12]])</f>
      </c>
      <c r="AJ10" s="11">
        <f>SUM(OI[[#This Row], [1]],OI[[#This Row], [2]],OI[[#This Row], [3]],OI[[#This Row], [4]],OI[[#This Row], [5]],OI[[#This Row], [6]])</f>
      </c>
      <c r="AK10" s="12">
        <f>SUM(OI[[#This Row], [7]],OI[[#This Row], [8]],OI[[#This Row], [9]],OI[[#This Row], [10]],OI[[#This Row], [11]],OI[[#This Row], [12]])</f>
      </c>
      <c r="AL10" s="11">
        <f>"HYFR"</f>
      </c>
    </row>
    <row x14ac:dyDescent="0.25" r="11" customHeight="1" ht="19.5">
      <c r="A11" s="3" t="s">
        <v>38</v>
      </c>
      <c r="B11" s="3" t="s">
        <v>39</v>
      </c>
      <c r="C11" s="3" t="s">
        <v>40</v>
      </c>
      <c r="D11" s="3" t="s">
        <v>46</v>
      </c>
      <c r="E11" s="8"/>
      <c r="F11" s="8">
        <f>RIGHT(AIA!B1,4)*1</f>
      </c>
      <c r="G11" s="3" t="s">
        <v>43</v>
      </c>
      <c r="H11" s="10">
        <f>IF(OI[[#This Row], [YEAR]]&lt;&gt;2020,"",AIA!$B$4+H4-H8)</f>
      </c>
      <c r="I11" s="10">
        <f>IF(OI[[#This Row], [PG]]&lt;&gt;2020,"",AIA!$B$4+I4-I8)</f>
      </c>
      <c r="J11" s="10">
        <f>IF(OI[[#This Row], [1]]&lt;&gt;2020,"",AIA!$B$4+J4-J8)</f>
      </c>
      <c r="K11" s="10">
        <f>IF(OI[[#This Row], [2]]&lt;&gt;2020,"",AIA!$B$4+K4-K8)</f>
      </c>
      <c r="L11" s="10">
        <f>IF(OI[[#This Row], [3]]&lt;&gt;2020,"",AIA!$B$4+L4-L8)</f>
      </c>
      <c r="M11" s="10">
        <f>IF(OI[[#This Row], [4]]&lt;&gt;2020,"",AIA!$B$4+M4-M8)</f>
      </c>
      <c r="N11" s="10">
        <f>IF(OI[[#This Row], [5]]&lt;&gt;2020,"",AIA!$B$4+N4-N8)</f>
      </c>
      <c r="O11" s="10">
        <f>IF(OI[[#This Row], [6]]&lt;&gt;2020,"",AIA!$B$4+O4-O8)</f>
      </c>
      <c r="P11" s="10">
        <f>IF(OI[[#This Row], [7]]&lt;&gt;2020,"",AIA!$B$4+P4-P8)</f>
      </c>
      <c r="Q11" s="10">
        <f>IF(OI[[#This Row], [8]]&lt;&gt;2020,"",AIA!$B$4+Q4-Q8)</f>
      </c>
      <c r="R11" s="10">
        <f>IF(OI[[#This Row], [9]]&lt;&gt;2020,"",AIA!$B$4+R4-R8)</f>
      </c>
      <c r="S11" s="10">
        <f>IF(OI[[#This Row], [10]]&lt;&gt;2020,"",AIA!$B$4+S4-S8)</f>
      </c>
      <c r="T11" s="11">
        <f>SUM(OI[[#This Row], [1]])</f>
      </c>
      <c r="U11" s="11">
        <f>SUM(OI[[#This Row], [1]],OI[[#This Row], [2]])</f>
      </c>
      <c r="V11" s="11">
        <f>SUM(OI[[#This Row], [1]],OI[[#This Row], [2]],OI[[#This Row], [3]])</f>
      </c>
      <c r="W11" s="11">
        <f>SUM(OI[[#This Row], [1]],OI[[#This Row], [2]],OI[[#This Row], [3]],OI[[#This Row], [4]])</f>
      </c>
      <c r="X11" s="11">
        <f>SUM(OI[[#This Row], [1]],OI[[#This Row], [2]],OI[[#This Row], [3]],OI[[#This Row], [4]],OI[[#This Row], [5]])</f>
      </c>
      <c r="Y11" s="11">
        <f>SUM(OI[[#This Row], [1]],OI[[#This Row], [2]],OI[[#This Row], [3]],OI[[#This Row], [4]],OI[[#This Row], [5]],OI[[#This Row], [6]])</f>
      </c>
      <c r="Z11" s="11">
        <f>SUM(OI[[#This Row], [1]],OI[[#This Row], [2]],OI[[#This Row], [3]],OI[[#This Row], [4]],OI[[#This Row], [5]],OI[[#This Row], [6]],OI[[#This Row], [7]])</f>
      </c>
      <c r="AA11" s="11">
        <f>SUM(OI[[#This Row], [1]],OI[[#This Row], [2]],OI[[#This Row], [3]],OI[[#This Row], [4]],OI[[#This Row], [5]],OI[[#This Row], [6]],OI[[#This Row], [7]],OI[[#This Row], [8]])</f>
      </c>
      <c r="AB11" s="11">
        <f>SUM(OI[[#This Row], [1]],OI[[#This Row], [2]],OI[[#This Row], [3]],OI[[#This Row], [4]],OI[[#This Row], [5]],OI[[#This Row], [6]],OI[[#This Row], [7]],OI[[#This Row], [8]],OI[[#This Row], [9]])</f>
      </c>
      <c r="AC11" s="11">
        <f>SUM(OI[[#This Row], [1]],OI[[#This Row], [2]],OI[[#This Row], [3]],OI[[#This Row], [4]],OI[[#This Row], [5]],OI[[#This Row], [6]],OI[[#This Row], [7]],OI[[#This Row], [8]],OI[[#This Row], [9]],OI[[#This Row], [10]])</f>
      </c>
      <c r="AD11" s="11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11" s="11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11" s="11">
        <f>SUM(OI[[#This Row], [1]],OI[[#This Row], [2]],OI[[#This Row], [3]])</f>
      </c>
      <c r="AG11" s="11">
        <f>SUM(OI[[#This Row], [4]],OI[[#This Row], [5]],OI[[#This Row], [6]])</f>
      </c>
      <c r="AH11" s="11">
        <f>SUM(OI[[#This Row], [7]],OI[[#This Row], [8]],OI[[#This Row], [9]])</f>
      </c>
      <c r="AI11" s="11">
        <f>SUM(OI[[#This Row], [10]],OI[[#This Row], [11]],OI[[#This Row], [12]])</f>
      </c>
      <c r="AJ11" s="11">
        <f>SUM(OI[[#This Row], [1]],OI[[#This Row], [2]],OI[[#This Row], [3]],OI[[#This Row], [4]],OI[[#This Row], [5]],OI[[#This Row], [6]])</f>
      </c>
      <c r="AK11" s="12">
        <f>SUM(OI[[#This Row], [7]],OI[[#This Row], [8]],OI[[#This Row], [9]],OI[[#This Row], [10]],OI[[#This Row], [11]],OI[[#This Row], [12]])</f>
      </c>
      <c r="AL11" s="11">
        <f>"HYFR"</f>
      </c>
    </row>
    <row x14ac:dyDescent="0.25" r="12" customHeight="1" ht="19.5">
      <c r="A12" s="3" t="s">
        <v>38</v>
      </c>
      <c r="B12" s="3" t="s">
        <v>39</v>
      </c>
      <c r="C12" s="3" t="s">
        <v>40</v>
      </c>
      <c r="D12" s="3" t="s">
        <v>46</v>
      </c>
      <c r="E12" s="8"/>
      <c r="F12" s="8">
        <f>RIGHT(AIA!B1,4)*1</f>
      </c>
      <c r="G12" s="3" t="s">
        <v>44</v>
      </c>
      <c r="H12" s="10">
        <f>IF(OI[[#This Row], [YEAR]]&lt;&gt;2020,"",AIA!$B$5+H5-H9)</f>
      </c>
      <c r="I12" s="10">
        <f>IF(OI[[#This Row], [PG]]&lt;&gt;2020,"",AIA!$B$5+I5-I9)</f>
      </c>
      <c r="J12" s="10">
        <f>IF(OI[[#This Row], [1]]&lt;&gt;2020,"",AIA!$B$5+J5-J9)</f>
      </c>
      <c r="K12" s="10">
        <f>IF(OI[[#This Row], [2]]&lt;&gt;2020,"",AIA!$B$5+K5-K9)</f>
      </c>
      <c r="L12" s="10">
        <f>IF(OI[[#This Row], [3]]&lt;&gt;2020,"",AIA!$B$5+L5-L9)</f>
      </c>
      <c r="M12" s="10">
        <f>IF(OI[[#This Row], [4]]&lt;&gt;2020,"",AIA!$B$5+M5-M9)</f>
      </c>
      <c r="N12" s="10">
        <f>IF(OI[[#This Row], [5]]&lt;&gt;2020,"",AIA!$B$5+N5-N9)</f>
      </c>
      <c r="O12" s="10">
        <f>IF(OI[[#This Row], [6]]&lt;&gt;2020,"",AIA!$B$5+O5-O9)</f>
      </c>
      <c r="P12" s="10">
        <f>IF(OI[[#This Row], [7]]&lt;&gt;2020,"",AIA!$B$5+P5-P9)</f>
      </c>
      <c r="Q12" s="10">
        <f>IF(OI[[#This Row], [8]]&lt;&gt;2020,"",AIA!$B$5+Q5-Q9)</f>
      </c>
      <c r="R12" s="10">
        <f>IF(OI[[#This Row], [9]]&lt;&gt;2020,"",AIA!$B$5+R5-R9)</f>
      </c>
      <c r="S12" s="10">
        <f>IF(OI[[#This Row], [10]]&lt;&gt;2020,"",AIA!$B$5+S5-S9)</f>
      </c>
      <c r="T12" s="14">
        <f>SUM(OI[[#This Row], [1]])</f>
      </c>
      <c r="U12" s="14">
        <f>SUM(OI[[#This Row], [1]],OI[[#This Row], [2]])</f>
      </c>
      <c r="V12" s="14">
        <f>SUM(OI[[#This Row], [1]],OI[[#This Row], [2]],OI[[#This Row], [3]])</f>
      </c>
      <c r="W12" s="14">
        <f>SUM(OI[[#This Row], [1]],OI[[#This Row], [2]],OI[[#This Row], [3]],OI[[#This Row], [4]])</f>
      </c>
      <c r="X12" s="14">
        <f>SUM(OI[[#This Row], [1]],OI[[#This Row], [2]],OI[[#This Row], [3]],OI[[#This Row], [4]],OI[[#This Row], [5]])</f>
      </c>
      <c r="Y12" s="14">
        <f>SUM(OI[[#This Row], [1]],OI[[#This Row], [2]],OI[[#This Row], [3]],OI[[#This Row], [4]],OI[[#This Row], [5]],OI[[#This Row], [6]])</f>
      </c>
      <c r="Z12" s="14">
        <f>SUM(OI[[#This Row], [1]],OI[[#This Row], [2]],OI[[#This Row], [3]],OI[[#This Row], [4]],OI[[#This Row], [5]],OI[[#This Row], [6]],OI[[#This Row], [7]])</f>
      </c>
      <c r="AA12" s="14">
        <f>SUM(OI[[#This Row], [1]],OI[[#This Row], [2]],OI[[#This Row], [3]],OI[[#This Row], [4]],OI[[#This Row], [5]],OI[[#This Row], [6]],OI[[#This Row], [7]],OI[[#This Row], [8]])</f>
      </c>
      <c r="AB12" s="14">
        <f>SUM(OI[[#This Row], [1]],OI[[#This Row], [2]],OI[[#This Row], [3]],OI[[#This Row], [4]],OI[[#This Row], [5]],OI[[#This Row], [6]],OI[[#This Row], [7]],OI[[#This Row], [8]],OI[[#This Row], [9]])</f>
      </c>
      <c r="AC12" s="14">
        <f>SUM(OI[[#This Row], [1]],OI[[#This Row], [2]],OI[[#This Row], [3]],OI[[#This Row], [4]],OI[[#This Row], [5]],OI[[#This Row], [6]],OI[[#This Row], [7]],OI[[#This Row], [8]],OI[[#This Row], [9]],OI[[#This Row], [10]])</f>
      </c>
      <c r="AD12" s="14">
        <f>SUM(OI[[#This Row], [1]],OI[[#This Row], [2]],OI[[#This Row], [3]],OI[[#This Row], [4]],OI[[#This Row], [5]],OI[[#This Row], [6]],OI[[#This Row], [7]],OI[[#This Row], [8]],OI[[#This Row], [9]],OI[[#This Row], [10]],OI[[#This Row], [11]])</f>
      </c>
      <c r="AE12" s="14">
        <f>SUM(OI[[#This Row], [1]],OI[[#This Row], [2]],OI[[#This Row], [3]],OI[[#This Row], [4]],OI[[#This Row], [5]],OI[[#This Row], [6]],OI[[#This Row], [7]],OI[[#This Row], [8]],OI[[#This Row], [9]],OI[[#This Row], [10]],OI[[#This Row], [11]],OI[[#This Row], [12]])</f>
      </c>
      <c r="AF12" s="14">
        <f>SUM(OI[[#This Row], [1]],OI[[#This Row], [2]],OI[[#This Row], [3]])</f>
      </c>
      <c r="AG12" s="14">
        <f>SUM(OI[[#This Row], [4]],OI[[#This Row], [5]],OI[[#This Row], [6]])</f>
      </c>
      <c r="AH12" s="14">
        <f>SUM(OI[[#This Row], [7]],OI[[#This Row], [8]],OI[[#This Row], [9]])</f>
      </c>
      <c r="AI12" s="14">
        <f>SUM(OI[[#This Row], [10]],OI[[#This Row], [11]],OI[[#This Row], [12]])</f>
      </c>
      <c r="AJ12" s="14">
        <f>SUM(OI[[#This Row], [1]],OI[[#This Row], [2]],OI[[#This Row], [3]],OI[[#This Row], [4]],OI[[#This Row], [5]],OI[[#This Row], [6]])</f>
      </c>
      <c r="AK12" s="15">
        <f>SUM(OI[[#This Row], [7]],OI[[#This Row], [8]],OI[[#This Row], [9]],OI[[#This Row], [10]],OI[[#This Row], [11]],OI[[#This Row], [12]])</f>
      </c>
      <c r="AL12" s="14">
        <f>"HYFR"</f>
      </c>
    </row>
    <row x14ac:dyDescent="0.25" r="13" customHeight="1" ht="19.5">
      <c r="A13" s="3"/>
      <c r="B13" s="3"/>
      <c r="C13" s="3"/>
      <c r="D13" s="3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x14ac:dyDescent="0.25" r="14" customHeight="1" ht="19.5">
      <c r="A14" s="3"/>
      <c r="B14" s="3"/>
      <c r="C14" s="3"/>
      <c r="D14" s="3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x14ac:dyDescent="0.25" r="15" customHeight="1" ht="19.5">
      <c r="A15" s="3"/>
      <c r="B15" s="3"/>
      <c r="C15" s="3" t="s">
        <v>47</v>
      </c>
      <c r="D15" s="16" t="s">
        <v>48</v>
      </c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x14ac:dyDescent="0.25" r="16" customHeight="1" ht="19.5">
      <c r="A16" s="3"/>
      <c r="B16" s="3"/>
      <c r="C16" s="3"/>
      <c r="D16" s="3" t="s">
        <v>49</v>
      </c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A433"/>
  <sheetViews>
    <sheetView workbookViewId="0" tabSelected="1"/>
  </sheetViews>
  <sheetFormatPr defaultRowHeight="15" x14ac:dyDescent="0.25"/>
  <cols>
    <col min="1" max="1" style="486" width="10.862142857142858" customWidth="1" bestFit="1"/>
    <col min="2" max="2" style="17" width="4.576428571428571" customWidth="1" bestFit="1"/>
    <col min="3" max="3" style="17" width="10.147857142857141" customWidth="1" bestFit="1"/>
    <col min="4" max="4" style="486" width="12.290714285714287" customWidth="1" bestFit="1"/>
    <col min="5" max="5" style="18" width="10.576428571428572" customWidth="1" bestFit="1"/>
    <col min="6" max="6" style="17" width="8.147857142857141" customWidth="1" bestFit="1"/>
    <col min="7" max="7" style="17" width="16.433571428571426" customWidth="1" bestFit="1"/>
    <col min="8" max="8" style="17" width="5.862142857142857" customWidth="1" bestFit="1"/>
    <col min="9" max="9" style="18" width="17.14785714285714" customWidth="1" bestFit="1"/>
    <col min="10" max="10" style="17" width="13.862142857142858" customWidth="1" bestFit="1"/>
    <col min="11" max="11" style="17" width="26.862142857142857" customWidth="1" bestFit="1"/>
    <col min="12" max="12" style="17" width="12.147857142857141" customWidth="1" bestFit="1"/>
    <col min="13" max="13" style="17" width="3.862142857142857" customWidth="1" bestFit="1"/>
    <col min="14" max="14" style="17" width="12.576428571428572" customWidth="1" bestFit="1"/>
    <col min="15" max="15" style="17" width="14.147857142857141" customWidth="1" bestFit="1" hidden="1"/>
    <col min="16" max="16" style="17" width="14.147857142857141" customWidth="1" bestFit="1" hidden="1"/>
    <col min="17" max="17" style="654" width="15.862142857142858" customWidth="1" bestFit="1"/>
    <col min="18" max="18" style="17" width="10.862142857142858" customWidth="1" bestFit="1"/>
    <col min="19" max="19" style="18" width="17.862142857142857" customWidth="1" bestFit="1"/>
    <col min="20" max="20" style="17" width="19.862142857142857" customWidth="1" bestFit="1"/>
    <col min="21" max="21" style="17" width="16.433571428571426" customWidth="1" bestFit="1"/>
    <col min="22" max="22" style="17" width="9.290714285714287" customWidth="1" bestFit="1"/>
    <col min="23" max="23" style="654" width="29.576428571428572" customWidth="1" bestFit="1"/>
    <col min="24" max="24" style="17" width="9.719285714285713" customWidth="1" bestFit="1"/>
    <col min="25" max="25" style="17" width="14.147857142857141" customWidth="1" bestFit="1" hidden="1"/>
    <col min="26" max="26" style="17" width="14.147857142857141" customWidth="1" bestFit="1" hidden="1"/>
    <col min="27" max="27" style="654" width="16.576428571428572" customWidth="1" bestFit="1"/>
    <col min="28" max="28" style="18" width="12.147857142857141" customWidth="1" bestFit="1"/>
    <col min="29" max="29" style="654" width="14.147857142857141" customWidth="1" bestFit="1"/>
    <col min="30" max="30" style="18" width="15.147857142857141" customWidth="1" bestFit="1"/>
    <col min="31" max="31" style="654" width="17.433571428571426" customWidth="1" bestFit="1"/>
    <col min="32" max="32" style="17" width="9.290714285714287" customWidth="1" bestFit="1"/>
    <col min="33" max="33" style="17" width="9.862142857142858" customWidth="1" bestFit="1"/>
    <col min="34" max="34" style="17" width="2.2907142857142855" customWidth="1" bestFit="1"/>
    <col min="35" max="35" style="18" width="9.005" customWidth="1" bestFit="1"/>
    <col min="36" max="36" style="17" width="43.43357142857143" customWidth="1" bestFit="1"/>
    <col min="37" max="37" style="17" width="1.5764285714285713" customWidth="1" bestFit="1"/>
    <col min="38" max="38" style="17" width="110.57642857142856" customWidth="1" bestFit="1"/>
    <col min="39" max="39" style="17" width="9.290714285714287" customWidth="1" bestFit="1"/>
    <col min="40" max="40" style="17" width="34.86214285714286" customWidth="1" bestFit="1"/>
    <col min="41" max="41" style="17" width="10.43357142857143" customWidth="1" bestFit="1"/>
    <col min="42" max="42" style="17" width="61.86214285714286" customWidth="1" bestFit="1"/>
    <col min="43" max="43" style="17" width="10.43357142857143" customWidth="1" bestFit="1"/>
    <col min="44" max="44" style="17" width="32.86214285714286" customWidth="1" bestFit="1"/>
    <col min="45" max="45" style="17" width="10.43357142857143" customWidth="1" bestFit="1"/>
    <col min="46" max="46" style="46" width="16.862142857142857" customWidth="1" bestFit="1"/>
    <col min="47" max="47" style="46" width="14.005" customWidth="1" bestFit="1"/>
    <col min="48" max="48" style="46" width="13.147857142857141" customWidth="1" bestFit="1"/>
    <col min="49" max="49" style="46" width="13.147857142857141" customWidth="1" bestFit="1"/>
    <col min="50" max="50" style="18" width="11.43357142857143" customWidth="1" bestFit="1"/>
    <col min="51" max="51" style="17" width="14.147857142857141" customWidth="1" bestFit="1"/>
    <col min="52" max="52" style="17" width="14.147857142857141" customWidth="1" bestFit="1"/>
    <col min="53" max="53" style="18" width="14.147857142857141" customWidth="1" bestFit="1"/>
  </cols>
  <sheetData>
    <row x14ac:dyDescent="0.25" r="1" customHeight="1" ht="19.5">
      <c r="A1" s="68" t="s">
        <v>601</v>
      </c>
      <c r="B1" s="3"/>
      <c r="C1" s="527" t="s">
        <v>602</v>
      </c>
      <c r="D1" s="528"/>
      <c r="E1" s="529"/>
      <c r="F1" s="530"/>
      <c r="G1" s="530"/>
      <c r="H1" s="530"/>
      <c r="I1" s="529"/>
      <c r="J1" s="530"/>
      <c r="K1" s="530"/>
      <c r="L1" s="530"/>
      <c r="M1" s="3"/>
      <c r="N1" s="531" t="s">
        <v>71</v>
      </c>
      <c r="O1" s="530"/>
      <c r="P1" s="530"/>
      <c r="Q1" s="532"/>
      <c r="R1" s="530"/>
      <c r="S1" s="529"/>
      <c r="T1" s="530"/>
      <c r="U1" s="530"/>
      <c r="V1" s="3"/>
      <c r="W1" s="533"/>
      <c r="X1" s="534" t="s">
        <v>603</v>
      </c>
      <c r="Y1" s="530"/>
      <c r="Z1" s="530"/>
      <c r="AA1" s="532"/>
      <c r="AB1" s="529"/>
      <c r="AC1" s="532"/>
      <c r="AD1" s="529"/>
      <c r="AE1" s="532"/>
      <c r="AF1" s="3"/>
      <c r="AG1" s="535" t="s">
        <v>604</v>
      </c>
      <c r="AH1" s="3"/>
      <c r="AI1" s="536" t="s">
        <v>73</v>
      </c>
      <c r="AJ1" s="537"/>
      <c r="AK1" s="3"/>
      <c r="AL1" s="538"/>
      <c r="AM1" s="3"/>
      <c r="AN1" s="539" t="s">
        <v>605</v>
      </c>
      <c r="AO1" s="3"/>
      <c r="AP1" s="540"/>
      <c r="AQ1" s="3"/>
      <c r="AR1" s="541"/>
      <c r="AS1" s="3"/>
      <c r="AT1" s="542"/>
      <c r="AU1" s="542"/>
      <c r="AV1" s="542"/>
      <c r="AW1" s="542"/>
      <c r="AX1" s="8"/>
      <c r="AY1" s="3"/>
      <c r="AZ1" s="3"/>
      <c r="BA1" s="8"/>
    </row>
    <row x14ac:dyDescent="0.25" r="2" customHeight="1" ht="28.8">
      <c r="A2" s="543" t="s">
        <v>59</v>
      </c>
      <c r="B2" s="544" t="s">
        <v>606</v>
      </c>
      <c r="C2" s="545" t="s">
        <v>76</v>
      </c>
      <c r="D2" s="546" t="s">
        <v>161</v>
      </c>
      <c r="E2" s="547" t="s">
        <v>162</v>
      </c>
      <c r="F2" s="548" t="s">
        <v>607</v>
      </c>
      <c r="G2" s="548" t="s">
        <v>74</v>
      </c>
      <c r="H2" s="549" t="s">
        <v>608</v>
      </c>
      <c r="I2" s="550" t="s">
        <v>163</v>
      </c>
      <c r="J2" s="549" t="s">
        <v>609</v>
      </c>
      <c r="K2" s="548" t="s">
        <v>610</v>
      </c>
      <c r="L2" s="548" t="s">
        <v>75</v>
      </c>
      <c r="M2" s="551" t="s">
        <v>611</v>
      </c>
      <c r="N2" s="552" t="s">
        <v>612</v>
      </c>
      <c r="O2" s="552" t="s">
        <v>613</v>
      </c>
      <c r="P2" s="552" t="s">
        <v>614</v>
      </c>
      <c r="Q2" s="553" t="s">
        <v>77</v>
      </c>
      <c r="R2" s="552" t="s">
        <v>78</v>
      </c>
      <c r="S2" s="554" t="s">
        <v>79</v>
      </c>
      <c r="T2" s="552" t="s">
        <v>615</v>
      </c>
      <c r="U2" s="552" t="s">
        <v>616</v>
      </c>
      <c r="V2" s="544" t="s">
        <v>617</v>
      </c>
      <c r="W2" s="555" t="s">
        <v>618</v>
      </c>
      <c r="X2" s="556" t="s">
        <v>619</v>
      </c>
      <c r="Y2" s="556" t="s">
        <v>620</v>
      </c>
      <c r="Z2" s="556" t="s">
        <v>621</v>
      </c>
      <c r="AA2" s="555" t="s">
        <v>81</v>
      </c>
      <c r="AB2" s="557" t="s">
        <v>622</v>
      </c>
      <c r="AC2" s="558" t="s">
        <v>623</v>
      </c>
      <c r="AD2" s="557" t="s">
        <v>624</v>
      </c>
      <c r="AE2" s="555" t="s">
        <v>82</v>
      </c>
      <c r="AF2" s="559" t="s">
        <v>625</v>
      </c>
      <c r="AG2" s="560" t="s">
        <v>626</v>
      </c>
      <c r="AH2" s="544" t="s">
        <v>627</v>
      </c>
      <c r="AI2" s="561" t="s">
        <v>83</v>
      </c>
      <c r="AJ2" s="545" t="s">
        <v>84</v>
      </c>
      <c r="AK2" s="544" t="s">
        <v>628</v>
      </c>
      <c r="AL2" s="562" t="s">
        <v>629</v>
      </c>
      <c r="AM2" s="544" t="s">
        <v>630</v>
      </c>
      <c r="AN2" s="563" t="s">
        <v>631</v>
      </c>
      <c r="AO2" s="544" t="s">
        <v>632</v>
      </c>
      <c r="AP2" s="564" t="s">
        <v>633</v>
      </c>
      <c r="AQ2" s="544" t="s">
        <v>634</v>
      </c>
      <c r="AR2" s="565" t="s">
        <v>635</v>
      </c>
      <c r="AS2" s="544" t="s">
        <v>636</v>
      </c>
      <c r="AT2" s="566" t="s">
        <v>637</v>
      </c>
      <c r="AU2" s="566" t="s">
        <v>638</v>
      </c>
      <c r="AV2" s="567" t="s">
        <v>639</v>
      </c>
      <c r="AW2" s="567" t="s">
        <v>640</v>
      </c>
      <c r="AX2" s="8"/>
      <c r="AY2" s="3"/>
      <c r="AZ2" s="3"/>
      <c r="BA2" s="8"/>
    </row>
    <row x14ac:dyDescent="0.25" r="3" customHeight="1" ht="15">
      <c r="A3" s="568"/>
      <c r="B3" s="569">
        <f>IFERROR(INDEX(Tabelle2[BU],MATCH(tbl_DCFC[[#This Row], [Categorie]],CAT,0)),"")</f>
      </c>
      <c r="C3" s="570"/>
      <c r="D3" s="571">
        <v>25569.04217841435</v>
      </c>
      <c r="E3" s="572">
        <v>4524</v>
      </c>
      <c r="F3" s="570" t="s">
        <v>641</v>
      </c>
      <c r="G3" s="570" t="s">
        <v>336</v>
      </c>
      <c r="H3" s="570"/>
      <c r="I3" s="572">
        <v>2980</v>
      </c>
      <c r="J3" s="570" t="s">
        <v>281</v>
      </c>
      <c r="K3" s="570" t="s">
        <v>551</v>
      </c>
      <c r="L3" s="570" t="s">
        <v>642</v>
      </c>
      <c r="M3" s="573"/>
      <c r="N3" s="574">
        <f>IF(Q3&lt;&gt;"","S"&amp;TEXT(WEEKNUM(Q3,21),"00"),"")</f>
      </c>
      <c r="O3" s="575">
        <f>IF(Data!$Q4="","",YEAR(Data!$Q4))</f>
      </c>
      <c r="P3" s="575">
        <f>IF(Data!$Q4="","",MONTH(Data!$Q4))</f>
      </c>
      <c r="Q3" s="576"/>
      <c r="R3" s="577"/>
      <c r="S3" s="578"/>
      <c r="T3" s="579"/>
      <c r="U3" s="580"/>
      <c r="V3" s="573"/>
      <c r="W3" s="581"/>
      <c r="X3" s="574">
        <f>IF(AC3&lt;&gt;"","S"&amp;TEXT(WEEKNUM(AC3,21),"00"),"")</f>
      </c>
      <c r="Y3" s="574">
        <f>IF(Data!$AC4="","",YEAR(Data!$AC4))</f>
      </c>
      <c r="Z3" s="574">
        <f>IF(Data!$AC4="","",MONTH(Data!$AC4))</f>
      </c>
      <c r="AA3" s="581"/>
      <c r="AB3" s="582"/>
      <c r="AC3" s="581"/>
      <c r="AD3" s="239"/>
      <c r="AE3" s="576"/>
      <c r="AF3" s="573"/>
      <c r="AG3" s="3"/>
      <c r="AH3" s="573"/>
      <c r="AI3" s="239">
        <v>2</v>
      </c>
      <c r="AJ3" s="583" t="s">
        <v>643</v>
      </c>
      <c r="AK3" s="573"/>
      <c r="AL3" s="239"/>
      <c r="AM3" s="573"/>
      <c r="AN3" s="584"/>
      <c r="AO3" s="573"/>
      <c r="AP3" s="583" t="s">
        <v>644</v>
      </c>
      <c r="AQ3" s="573"/>
      <c r="AR3" s="585"/>
      <c r="AS3" s="573"/>
      <c r="AT3" s="586"/>
      <c r="AU3" s="586"/>
      <c r="AV3" s="587">
        <f>IF(AT3="","",S3-AT3-AU3)</f>
      </c>
      <c r="AW3" s="588">
        <f>IFERROR(IF(tbl_DCFC[[#This Row], [F Montant HT]]="","",tbl_DCFC[[#This Row], [Marge]]/tbl_DCFC[[#This Row], [F Montant HT]]),"")</f>
      </c>
      <c r="AX3" s="8"/>
      <c r="AY3" s="3"/>
      <c r="AZ3" s="3"/>
      <c r="BA3" s="8"/>
    </row>
    <row x14ac:dyDescent="0.25" r="4" customHeight="1" ht="15">
      <c r="A4" s="568"/>
      <c r="B4" s="569">
        <f>IFERROR(INDEX(Tabelle2[BU],MATCH(tbl_DCFC[[#This Row], [Categorie]],CAT,0)),"")</f>
      </c>
      <c r="C4" s="570"/>
      <c r="D4" s="571">
        <v>25569.042178587963</v>
      </c>
      <c r="E4" s="589">
        <v>4532</v>
      </c>
      <c r="F4" s="570" t="s">
        <v>641</v>
      </c>
      <c r="G4" s="570" t="s">
        <v>645</v>
      </c>
      <c r="H4" s="570"/>
      <c r="I4" s="572">
        <v>6900</v>
      </c>
      <c r="J4" s="570" t="s">
        <v>280</v>
      </c>
      <c r="K4" s="570" t="s">
        <v>548</v>
      </c>
      <c r="L4" s="570" t="s">
        <v>646</v>
      </c>
      <c r="M4" s="590"/>
      <c r="N4" s="570"/>
      <c r="O4" s="591">
        <f>IF(Data!$Q5="","",YEAR(Data!$Q5))</f>
      </c>
      <c r="P4" s="591">
        <f>IF(Data!$Q5="","",MONTH(Data!$Q5))</f>
      </c>
      <c r="Q4" s="592">
        <v>25569.04217859954</v>
      </c>
      <c r="R4" s="593" t="s">
        <v>647</v>
      </c>
      <c r="S4" s="572">
        <v>6900</v>
      </c>
      <c r="T4" s="594"/>
      <c r="U4" s="595"/>
      <c r="V4" s="590"/>
      <c r="W4" s="596"/>
      <c r="X4" s="575">
        <f>IF(AC4&lt;&gt;"","S"&amp;TEXT(WEEKNUM(AC4,21),"00"),"")</f>
      </c>
      <c r="Y4" s="575">
        <f>IF(Data!$AC5="","",YEAR(Data!$AC5))</f>
      </c>
      <c r="Z4" s="575">
        <f>IF(Data!$AC5="","",MONTH(Data!$AC5))</f>
      </c>
      <c r="AA4" s="597">
        <v>25569.04218241898</v>
      </c>
      <c r="AB4" s="598">
        <v>5196</v>
      </c>
      <c r="AC4" s="597">
        <v>25569.042182881945</v>
      </c>
      <c r="AD4" s="599">
        <v>6900</v>
      </c>
      <c r="AE4" s="597">
        <v>25569.04218241898</v>
      </c>
      <c r="AF4" s="573"/>
      <c r="AG4" s="3"/>
      <c r="AH4" s="590"/>
      <c r="AI4" s="600">
        <v>1</v>
      </c>
      <c r="AJ4" s="601" t="s">
        <v>648</v>
      </c>
      <c r="AK4" s="590"/>
      <c r="AL4" s="601"/>
      <c r="AM4" s="590"/>
      <c r="AN4" s="602"/>
      <c r="AO4" s="590"/>
      <c r="AP4" s="601"/>
      <c r="AQ4" s="590"/>
      <c r="AR4" s="603"/>
      <c r="AS4" s="590"/>
      <c r="AT4" s="604">
        <v>1415.21</v>
      </c>
      <c r="AU4" s="604">
        <v>4700</v>
      </c>
      <c r="AV4" s="587">
        <f>IF(AT4="","",S4-AT4-AU4)</f>
      </c>
      <c r="AW4" s="588">
        <f>IFERROR(IF(tbl_DCFC[[#This Row], [F Montant HT]]="","",tbl_DCFC[[#This Row], [Marge]]/tbl_DCFC[[#This Row], [F Montant HT]]),"")</f>
      </c>
      <c r="AX4" s="8"/>
      <c r="AY4" s="3"/>
      <c r="AZ4" s="3"/>
      <c r="BA4" s="8"/>
    </row>
    <row x14ac:dyDescent="0.25" r="5" customHeight="1" ht="15">
      <c r="A5" s="568"/>
      <c r="B5" s="569">
        <f>IFERROR(INDEX(Tabelle2[BU],MATCH(tbl_DCFC[[#This Row], [Categorie]],CAT,0)),"")</f>
      </c>
      <c r="C5" s="570"/>
      <c r="D5" s="571">
        <v>25569.042178657408</v>
      </c>
      <c r="E5" s="572">
        <v>4537</v>
      </c>
      <c r="F5" s="570" t="s">
        <v>641</v>
      </c>
      <c r="G5" s="570" t="s">
        <v>649</v>
      </c>
      <c r="H5" s="570"/>
      <c r="I5" s="572"/>
      <c r="J5" s="570" t="s">
        <v>281</v>
      </c>
      <c r="K5" s="570" t="s">
        <v>548</v>
      </c>
      <c r="L5" s="570" t="s">
        <v>650</v>
      </c>
      <c r="M5" s="590"/>
      <c r="N5" s="575">
        <f>IF(Q5&lt;&gt;"","S"&amp;TEXT(WEEKNUM(Q5,21),"00"),"")</f>
      </c>
      <c r="O5" s="575">
        <f>IF(Data!$Q6="","",YEAR(Data!$Q6))</f>
      </c>
      <c r="P5" s="575">
        <f>IF(Data!$Q6="","",MONTH(Data!$Q6))</f>
      </c>
      <c r="Q5" s="596"/>
      <c r="R5" s="605"/>
      <c r="S5" s="599"/>
      <c r="T5" s="606"/>
      <c r="U5" s="607"/>
      <c r="V5" s="590"/>
      <c r="W5" s="596"/>
      <c r="X5" s="575">
        <f>IF(AC5&lt;&gt;"","S"&amp;TEXT(WEEKNUM(AC5,21),"00"),"")</f>
      </c>
      <c r="Y5" s="575">
        <f>IF(Data!$AC6="","",YEAR(Data!$AC6))</f>
      </c>
      <c r="Z5" s="575">
        <f>IF(Data!$AC6="","",MONTH(Data!$AC6))</f>
      </c>
      <c r="AA5" s="596"/>
      <c r="AB5" s="608"/>
      <c r="AC5" s="596"/>
      <c r="AD5" s="599"/>
      <c r="AE5" s="596"/>
      <c r="AF5" s="573"/>
      <c r="AG5" s="3"/>
      <c r="AH5" s="590"/>
      <c r="AI5" s="609">
        <v>1</v>
      </c>
      <c r="AJ5" s="610" t="s">
        <v>651</v>
      </c>
      <c r="AK5" s="590"/>
      <c r="AL5" s="610" t="s">
        <v>652</v>
      </c>
      <c r="AM5" s="590"/>
      <c r="AN5" s="602"/>
      <c r="AO5" s="590"/>
      <c r="AP5" s="610" t="s">
        <v>653</v>
      </c>
      <c r="AQ5" s="590"/>
      <c r="AR5" s="611"/>
      <c r="AS5" s="590"/>
      <c r="AT5" s="612"/>
      <c r="AU5" s="612"/>
      <c r="AV5" s="587">
        <f>IF(AT5="","",S5-AT5-AU5)</f>
      </c>
      <c r="AW5" s="588">
        <f>IFERROR(IF(tbl_DCFC[[#This Row], [F Montant HT]]="","",tbl_DCFC[[#This Row], [Marge]]/tbl_DCFC[[#This Row], [F Montant HT]]),"")</f>
      </c>
      <c r="AX5" s="8"/>
      <c r="AY5" s="3"/>
      <c r="AZ5" s="3"/>
      <c r="BA5" s="8"/>
    </row>
    <row x14ac:dyDescent="0.25" r="6" customHeight="1" ht="15">
      <c r="A6" s="568"/>
      <c r="B6" s="569">
        <f>IFERROR(INDEX(Tabelle2[BU],MATCH(tbl_DCFC[[#This Row], [Categorie]],CAT,0)),"")</f>
      </c>
      <c r="C6" s="570"/>
      <c r="D6" s="571">
        <v>25569.042178935186</v>
      </c>
      <c r="E6" s="572">
        <v>4553</v>
      </c>
      <c r="F6" s="570" t="s">
        <v>641</v>
      </c>
      <c r="G6" s="570" t="s">
        <v>654</v>
      </c>
      <c r="H6" s="570"/>
      <c r="I6" s="572">
        <v>1035.65</v>
      </c>
      <c r="J6" s="570" t="s">
        <v>281</v>
      </c>
      <c r="K6" s="570" t="s">
        <v>548</v>
      </c>
      <c r="L6" s="570" t="s">
        <v>650</v>
      </c>
      <c r="M6" s="590"/>
      <c r="N6" s="570"/>
      <c r="O6" s="591">
        <f>IF(Data!$Q7="","",YEAR(Data!$Q7))</f>
      </c>
      <c r="P6" s="591">
        <f>IF(Data!$Q7="","",MONTH(Data!$Q7))</f>
      </c>
      <c r="Q6" s="592">
        <v>25569.042179016204</v>
      </c>
      <c r="R6" s="593"/>
      <c r="S6" s="572"/>
      <c r="T6" s="594"/>
      <c r="U6" s="595"/>
      <c r="V6" s="590"/>
      <c r="W6" s="596"/>
      <c r="X6" s="575">
        <f>IF(AC6&lt;&gt;"","S"&amp;TEXT(WEEKNUM(AC6,21),"00"),"")</f>
      </c>
      <c r="Y6" s="575">
        <f>IF(Data!$AC7="","",YEAR(Data!$AC7))</f>
      </c>
      <c r="Z6" s="575">
        <f>IF(Data!$AC7="","",MONTH(Data!$AC7))</f>
      </c>
      <c r="AA6" s="596"/>
      <c r="AB6" s="608"/>
      <c r="AC6" s="596"/>
      <c r="AD6" s="599"/>
      <c r="AE6" s="597">
        <v>25569.042186643517</v>
      </c>
      <c r="AF6" s="573"/>
      <c r="AG6" s="3"/>
      <c r="AH6" s="590"/>
      <c r="AI6" s="600">
        <v>1</v>
      </c>
      <c r="AJ6" s="601" t="s">
        <v>655</v>
      </c>
      <c r="AK6" s="590"/>
      <c r="AL6" s="601" t="s">
        <v>656</v>
      </c>
      <c r="AM6" s="590"/>
      <c r="AN6" s="602"/>
      <c r="AO6" s="590"/>
      <c r="AP6" s="613"/>
      <c r="AQ6" s="590"/>
      <c r="AR6" s="603"/>
      <c r="AS6" s="590"/>
      <c r="AT6" s="604"/>
      <c r="AU6" s="604"/>
      <c r="AV6" s="587">
        <f>IF(AT6="","",S6-AT6-AU6)</f>
      </c>
      <c r="AW6" s="588">
        <f>IFERROR(IF(tbl_DCFC[[#This Row], [F Montant HT]]="","",tbl_DCFC[[#This Row], [Marge]]/tbl_DCFC[[#This Row], [F Montant HT]]),"")</f>
      </c>
      <c r="AX6" s="8"/>
      <c r="AY6" s="3"/>
      <c r="AZ6" s="3"/>
      <c r="BA6" s="8"/>
    </row>
    <row x14ac:dyDescent="0.25" r="7" customHeight="1" ht="15">
      <c r="A7" s="568"/>
      <c r="B7" s="569">
        <f>IFERROR(INDEX(Tabelle2[BU],MATCH(tbl_DCFC[[#This Row], [Categorie]],CAT,0)),"")</f>
      </c>
      <c r="C7" s="570"/>
      <c r="D7" s="571">
        <v>25569.042179016204</v>
      </c>
      <c r="E7" s="572">
        <v>4555</v>
      </c>
      <c r="F7" s="570" t="s">
        <v>641</v>
      </c>
      <c r="G7" s="570" t="s">
        <v>645</v>
      </c>
      <c r="H7" s="570" t="s">
        <v>336</v>
      </c>
      <c r="I7" s="572"/>
      <c r="J7" s="570" t="s">
        <v>281</v>
      </c>
      <c r="K7" s="570" t="s">
        <v>550</v>
      </c>
      <c r="L7" s="570" t="s">
        <v>657</v>
      </c>
      <c r="M7" s="590"/>
      <c r="N7" s="575">
        <f>IF(Q7&lt;&gt;"","S"&amp;TEXT(WEEKNUM(Q7,21),"00"),"")</f>
      </c>
      <c r="O7" s="575">
        <f>IF(Data!$Q8="","",YEAR(Data!$Q8))</f>
      </c>
      <c r="P7" s="575">
        <f>IF(Data!$Q8="","",MONTH(Data!$Q8))</f>
      </c>
      <c r="Q7" s="596"/>
      <c r="R7" s="605"/>
      <c r="S7" s="599"/>
      <c r="T7" s="606"/>
      <c r="U7" s="607"/>
      <c r="V7" s="590"/>
      <c r="W7" s="596"/>
      <c r="X7" s="575">
        <f>IF(AC7&lt;&gt;"","S"&amp;TEXT(WEEKNUM(AC7,21),"00"),"")</f>
      </c>
      <c r="Y7" s="575">
        <f>IF(Data!$AC8="","",YEAR(Data!$AC8))</f>
      </c>
      <c r="Z7" s="575">
        <f>IF(Data!$AC8="","",MONTH(Data!$AC8))</f>
      </c>
      <c r="AA7" s="596"/>
      <c r="AB7" s="608"/>
      <c r="AC7" s="596"/>
      <c r="AD7" s="599"/>
      <c r="AE7" s="596"/>
      <c r="AF7" s="573"/>
      <c r="AG7" s="3"/>
      <c r="AH7" s="590"/>
      <c r="AI7" s="600">
        <v>1</v>
      </c>
      <c r="AJ7" s="601" t="s">
        <v>658</v>
      </c>
      <c r="AK7" s="590"/>
      <c r="AL7" s="601" t="s">
        <v>659</v>
      </c>
      <c r="AM7" s="590"/>
      <c r="AN7" s="602"/>
      <c r="AO7" s="590"/>
      <c r="AP7" s="601" t="s">
        <v>660</v>
      </c>
      <c r="AQ7" s="590"/>
      <c r="AR7" s="603"/>
      <c r="AS7" s="590"/>
      <c r="AT7" s="604"/>
      <c r="AU7" s="604"/>
      <c r="AV7" s="587">
        <f>IF(AT7="","",S7-AT7-AU7)</f>
      </c>
      <c r="AW7" s="588">
        <f>IFERROR(IF(tbl_DCFC[[#This Row], [F Montant HT]]="","",tbl_DCFC[[#This Row], [Marge]]/tbl_DCFC[[#This Row], [F Montant HT]]),"")</f>
      </c>
      <c r="AX7" s="8"/>
      <c r="AY7" s="3"/>
      <c r="AZ7" s="3"/>
      <c r="BA7" s="8"/>
    </row>
    <row x14ac:dyDescent="0.25" r="8" customHeight="1" ht="15">
      <c r="A8" s="568"/>
      <c r="B8" s="569">
        <f>IFERROR(INDEX(Tabelle2[BU],MATCH(tbl_DCFC[[#This Row], [Categorie]],CAT,0)),"")</f>
      </c>
      <c r="C8" s="570"/>
      <c r="D8" s="571">
        <v>25569.042179305554</v>
      </c>
      <c r="E8" s="589">
        <v>4561</v>
      </c>
      <c r="F8" s="570" t="s">
        <v>641</v>
      </c>
      <c r="G8" s="570" t="s">
        <v>336</v>
      </c>
      <c r="H8" s="570"/>
      <c r="I8" s="572"/>
      <c r="J8" s="570" t="s">
        <v>281</v>
      </c>
      <c r="K8" s="570" t="s">
        <v>544</v>
      </c>
      <c r="L8" s="570" t="s">
        <v>650</v>
      </c>
      <c r="M8" s="590"/>
      <c r="N8" s="575">
        <f>IF(Q8&lt;&gt;"","S"&amp;TEXT(WEEKNUM(Q8,21),"00"),"")</f>
      </c>
      <c r="O8" s="575">
        <f>IF(Data!$Q9="","",YEAR(Data!$Q9))</f>
      </c>
      <c r="P8" s="575">
        <f>IF(Data!$Q9="","",MONTH(Data!$Q9))</f>
      </c>
      <c r="Q8" s="596"/>
      <c r="R8" s="605"/>
      <c r="S8" s="599"/>
      <c r="T8" s="606"/>
      <c r="U8" s="607"/>
      <c r="V8" s="590"/>
      <c r="W8" s="596"/>
      <c r="X8" s="575">
        <f>IF(AC8&lt;&gt;"","S"&amp;TEXT(WEEKNUM(AC8,21),"00"),"")</f>
      </c>
      <c r="Y8" s="575">
        <f>IF(Data!$AC9="","",YEAR(Data!$AC9))</f>
      </c>
      <c r="Z8" s="575">
        <f>IF(Data!$AC9="","",MONTH(Data!$AC9))</f>
      </c>
      <c r="AA8" s="596"/>
      <c r="AB8" s="608"/>
      <c r="AC8" s="596"/>
      <c r="AD8" s="599"/>
      <c r="AE8" s="596"/>
      <c r="AF8" s="573"/>
      <c r="AG8" s="3"/>
      <c r="AH8" s="590"/>
      <c r="AI8" s="600">
        <v>1</v>
      </c>
      <c r="AJ8" s="601" t="s">
        <v>661</v>
      </c>
      <c r="AK8" s="590"/>
      <c r="AL8" s="601" t="s">
        <v>662</v>
      </c>
      <c r="AM8" s="590"/>
      <c r="AN8" s="602"/>
      <c r="AO8" s="590"/>
      <c r="AP8" s="601" t="s">
        <v>663</v>
      </c>
      <c r="AQ8" s="590"/>
      <c r="AR8" s="603"/>
      <c r="AS8" s="590"/>
      <c r="AT8" s="604"/>
      <c r="AU8" s="604"/>
      <c r="AV8" s="587">
        <f>IF(AT8="","",S8-AT8-AU8)</f>
      </c>
      <c r="AW8" s="588">
        <f>IFERROR(IF(tbl_DCFC[[#This Row], [F Montant HT]]="","",tbl_DCFC[[#This Row], [Marge]]/tbl_DCFC[[#This Row], [F Montant HT]]),"")</f>
      </c>
      <c r="AX8" s="8"/>
      <c r="AY8" s="3"/>
      <c r="AZ8" s="3"/>
      <c r="BA8" s="8"/>
    </row>
    <row x14ac:dyDescent="0.25" r="9" customHeight="1" ht="15">
      <c r="A9" s="568"/>
      <c r="B9" s="569">
        <f>IFERROR(INDEX(Tabelle2[BU],MATCH(tbl_DCFC[[#This Row], [Categorie]],CAT,0)),"")</f>
      </c>
      <c r="C9" s="570"/>
      <c r="D9" s="571">
        <v>25569.042179375</v>
      </c>
      <c r="E9" s="589">
        <v>4569</v>
      </c>
      <c r="F9" s="570" t="s">
        <v>641</v>
      </c>
      <c r="G9" s="570" t="s">
        <v>664</v>
      </c>
      <c r="H9" s="570"/>
      <c r="I9" s="572">
        <v>3236</v>
      </c>
      <c r="J9" s="570" t="s">
        <v>281</v>
      </c>
      <c r="K9" s="570" t="s">
        <v>550</v>
      </c>
      <c r="L9" s="570" t="s">
        <v>646</v>
      </c>
      <c r="M9" s="590"/>
      <c r="N9" s="570"/>
      <c r="O9" s="591">
        <f>IF(Data!$Q10="","",YEAR(Data!$Q10))</f>
      </c>
      <c r="P9" s="591">
        <f>IF(Data!$Q10="","",MONTH(Data!$Q10))</f>
      </c>
      <c r="Q9" s="592">
        <v>25569.04218116898</v>
      </c>
      <c r="R9" s="593" t="s">
        <v>665</v>
      </c>
      <c r="S9" s="572">
        <v>3236</v>
      </c>
      <c r="T9" s="594"/>
      <c r="U9" s="595"/>
      <c r="V9" s="590"/>
      <c r="W9" s="596"/>
      <c r="X9" s="575">
        <f>IF(AC9&lt;&gt;"","S"&amp;TEXT(WEEKNUM(AC9,21),"00"),"")</f>
      </c>
      <c r="Y9" s="575">
        <f>IF(Data!$AC10="","",YEAR(Data!$AC10))</f>
      </c>
      <c r="Z9" s="575">
        <f>IF(Data!$AC10="","",MONTH(Data!$AC10))</f>
      </c>
      <c r="AA9" s="597">
        <v>25569.04218310185</v>
      </c>
      <c r="AB9" s="598">
        <v>5208</v>
      </c>
      <c r="AC9" s="597">
        <v>25569.04218310185</v>
      </c>
      <c r="AD9" s="599">
        <v>3236</v>
      </c>
      <c r="AE9" s="597">
        <v>25569.04218277778</v>
      </c>
      <c r="AF9" s="573"/>
      <c r="AG9" s="3"/>
      <c r="AH9" s="590"/>
      <c r="AI9" s="600">
        <v>1</v>
      </c>
      <c r="AJ9" s="601" t="s">
        <v>666</v>
      </c>
      <c r="AK9" s="590"/>
      <c r="AL9" s="601"/>
      <c r="AM9" s="590"/>
      <c r="AN9" s="602"/>
      <c r="AO9" s="590"/>
      <c r="AP9" s="601" t="s">
        <v>667</v>
      </c>
      <c r="AQ9" s="590"/>
      <c r="AR9" s="603"/>
      <c r="AS9" s="590"/>
      <c r="AT9" s="604">
        <v>911</v>
      </c>
      <c r="AU9" s="604"/>
      <c r="AV9" s="587">
        <f>IF(AT9="","",S9-AT9-AU9)</f>
      </c>
      <c r="AW9" s="588">
        <f>IFERROR(IF(tbl_DCFC[[#This Row], [F Montant HT]]="","",tbl_DCFC[[#This Row], [Marge]]/tbl_DCFC[[#This Row], [F Montant HT]]),"")</f>
      </c>
      <c r="AX9" s="8"/>
      <c r="AY9" s="3"/>
      <c r="AZ9" s="3"/>
      <c r="BA9" s="8"/>
    </row>
    <row x14ac:dyDescent="0.25" r="10" customHeight="1" ht="15">
      <c r="A10" s="568"/>
      <c r="B10" s="569">
        <f>IFERROR(INDEX(Tabelle2[BU],MATCH(tbl_DCFC[[#This Row], [Categorie]],CAT,0)),"")</f>
      </c>
      <c r="C10" s="570"/>
      <c r="D10" s="571">
        <v>25569.042179398148</v>
      </c>
      <c r="E10" s="589">
        <v>4571</v>
      </c>
      <c r="F10" s="570" t="s">
        <v>641</v>
      </c>
      <c r="G10" s="570" t="s">
        <v>645</v>
      </c>
      <c r="H10" s="570"/>
      <c r="I10" s="572">
        <v>1200</v>
      </c>
      <c r="J10" s="570" t="s">
        <v>280</v>
      </c>
      <c r="K10" s="570" t="s">
        <v>548</v>
      </c>
      <c r="L10" s="570" t="s">
        <v>646</v>
      </c>
      <c r="M10" s="590"/>
      <c r="N10" s="570"/>
      <c r="O10" s="591">
        <f>IF(Data!$Q11="","",YEAR(Data!$Q11))</f>
      </c>
      <c r="P10" s="591">
        <f>IF(Data!$Q11="","",MONTH(Data!$Q11))</f>
      </c>
      <c r="Q10" s="592">
        <v>25569.042179398148</v>
      </c>
      <c r="R10" s="593" t="s">
        <v>668</v>
      </c>
      <c r="S10" s="572">
        <v>1200</v>
      </c>
      <c r="T10" s="594"/>
      <c r="U10" s="595"/>
      <c r="V10" s="590"/>
      <c r="W10" s="596"/>
      <c r="X10" s="575">
        <f>IF(AC10&lt;&gt;"","S"&amp;TEXT(WEEKNUM(AC10,21),"00"),"")</f>
      </c>
      <c r="Y10" s="575">
        <f>IF(Data!$AC11="","",YEAR(Data!$AC11))</f>
      </c>
      <c r="Z10" s="575">
        <f>IF(Data!$AC11="","",MONTH(Data!$AC11))</f>
      </c>
      <c r="AA10" s="597">
        <v>25569.042179618056</v>
      </c>
      <c r="AB10" s="598">
        <v>5212</v>
      </c>
      <c r="AC10" s="597">
        <v>25569.04218320602</v>
      </c>
      <c r="AD10" s="599">
        <v>1200</v>
      </c>
      <c r="AE10" s="596"/>
      <c r="AF10" s="573"/>
      <c r="AG10" s="3"/>
      <c r="AH10" s="590"/>
      <c r="AI10" s="600">
        <v>1</v>
      </c>
      <c r="AJ10" s="601" t="s">
        <v>669</v>
      </c>
      <c r="AK10" s="590"/>
      <c r="AL10" s="601"/>
      <c r="AM10" s="590"/>
      <c r="AN10" s="602"/>
      <c r="AO10" s="590"/>
      <c r="AP10" s="601" t="s">
        <v>670</v>
      </c>
      <c r="AQ10" s="590"/>
      <c r="AR10" s="603"/>
      <c r="AS10" s="590"/>
      <c r="AT10" s="604">
        <v>660</v>
      </c>
      <c r="AU10" s="604">
        <v>362.5</v>
      </c>
      <c r="AV10" s="587">
        <f>IF(AT10="","",S10-AT10-AU10)</f>
      </c>
      <c r="AW10" s="588">
        <f>IFERROR(IF(tbl_DCFC[[#This Row], [F Montant HT]]="","",tbl_DCFC[[#This Row], [Marge]]/tbl_DCFC[[#This Row], [F Montant HT]]),"")</f>
      </c>
      <c r="AX10" s="8"/>
      <c r="AY10" s="3"/>
      <c r="AZ10" s="3"/>
      <c r="BA10" s="8"/>
    </row>
    <row x14ac:dyDescent="0.25" r="11" customHeight="1" ht="15">
      <c r="A11" s="568"/>
      <c r="B11" s="569">
        <f>IFERROR(INDEX(Tabelle2[BU],MATCH(tbl_DCFC[[#This Row], [Categorie]],CAT,0)),"")</f>
      </c>
      <c r="C11" s="570"/>
      <c r="D11" s="571">
        <v>25569.042180150464</v>
      </c>
      <c r="E11" s="589">
        <v>4604</v>
      </c>
      <c r="F11" s="570" t="s">
        <v>641</v>
      </c>
      <c r="G11" s="570" t="s">
        <v>671</v>
      </c>
      <c r="H11" s="570"/>
      <c r="I11" s="572">
        <v>1945</v>
      </c>
      <c r="J11" s="570" t="s">
        <v>280</v>
      </c>
      <c r="K11" s="570" t="s">
        <v>548</v>
      </c>
      <c r="L11" s="570" t="s">
        <v>646</v>
      </c>
      <c r="M11" s="590"/>
      <c r="N11" s="570"/>
      <c r="O11" s="591">
        <f>IF(Data!$Q12="","",YEAR(Data!$Q12))</f>
      </c>
      <c r="P11" s="591">
        <f>IF(Data!$Q12="","",MONTH(Data!$Q12))</f>
      </c>
      <c r="Q11" s="592">
        <v>25569.042180150464</v>
      </c>
      <c r="R11" s="593" t="s">
        <v>672</v>
      </c>
      <c r="S11" s="572">
        <v>1945</v>
      </c>
      <c r="T11" s="594"/>
      <c r="U11" s="595"/>
      <c r="V11" s="590"/>
      <c r="W11" s="597">
        <v>25569.042180138887</v>
      </c>
      <c r="X11" s="575">
        <f>IF(AC11&lt;&gt;"","S"&amp;TEXT(WEEKNUM(AC11,21),"00"),"")</f>
      </c>
      <c r="Y11" s="575">
        <f>IF(Data!$AC12="","",YEAR(Data!$AC12))</f>
      </c>
      <c r="Z11" s="575">
        <f>IF(Data!$AC12="","",MONTH(Data!$AC12))</f>
      </c>
      <c r="AA11" s="597">
        <v>25569.0421828125</v>
      </c>
      <c r="AB11" s="598">
        <v>5197</v>
      </c>
      <c r="AC11" s="597">
        <v>25569.042182881945</v>
      </c>
      <c r="AD11" s="599">
        <v>1945</v>
      </c>
      <c r="AE11" s="597">
        <v>25569.04218310185</v>
      </c>
      <c r="AF11" s="573"/>
      <c r="AG11" s="3"/>
      <c r="AH11" s="590"/>
      <c r="AI11" s="609">
        <v>1</v>
      </c>
      <c r="AJ11" s="610" t="s">
        <v>673</v>
      </c>
      <c r="AK11" s="590"/>
      <c r="AL11" s="610"/>
      <c r="AM11" s="590"/>
      <c r="AN11" s="602"/>
      <c r="AO11" s="590"/>
      <c r="AP11" s="610" t="s">
        <v>674</v>
      </c>
      <c r="AQ11" s="590"/>
      <c r="AR11" s="611"/>
      <c r="AS11" s="590"/>
      <c r="AT11" s="612">
        <v>576</v>
      </c>
      <c r="AU11" s="612">
        <v>62.5</v>
      </c>
      <c r="AV11" s="587">
        <f>IF(AT11="","",S11-AT11-AU11)</f>
      </c>
      <c r="AW11" s="588">
        <f>IFERROR(IF(tbl_DCFC[[#This Row], [F Montant HT]]="","",tbl_DCFC[[#This Row], [Marge]]/tbl_DCFC[[#This Row], [F Montant HT]]),"")</f>
      </c>
      <c r="AX11" s="8"/>
      <c r="AY11" s="3"/>
      <c r="AZ11" s="3"/>
      <c r="BA11" s="8"/>
    </row>
    <row x14ac:dyDescent="0.25" r="12" customHeight="1" ht="15">
      <c r="A12" s="568"/>
      <c r="B12" s="569">
        <f>IFERROR(INDEX(Tabelle2[BU],MATCH(tbl_DCFC[[#This Row], [Categorie]],CAT,0)),"")</f>
      </c>
      <c r="C12" s="570"/>
      <c r="D12" s="571">
        <v>25569.042180150464</v>
      </c>
      <c r="E12" s="589">
        <v>4605</v>
      </c>
      <c r="F12" s="570" t="s">
        <v>641</v>
      </c>
      <c r="G12" s="570" t="s">
        <v>336</v>
      </c>
      <c r="H12" s="570"/>
      <c r="I12" s="572">
        <v>48920</v>
      </c>
      <c r="J12" s="570" t="s">
        <v>281</v>
      </c>
      <c r="K12" s="570" t="s">
        <v>542</v>
      </c>
      <c r="L12" s="570" t="s">
        <v>642</v>
      </c>
      <c r="M12" s="590"/>
      <c r="N12" s="575">
        <f>IF(Q12&lt;&gt;"","S"&amp;TEXT(WEEKNUM(Q12,21),"00"),"")</f>
      </c>
      <c r="O12" s="575">
        <f>IF(Data!$Q13="","",YEAR(Data!$Q13))</f>
      </c>
      <c r="P12" s="575">
        <f>IF(Data!$Q13="","",MONTH(Data!$Q13))</f>
      </c>
      <c r="Q12" s="596"/>
      <c r="R12" s="605"/>
      <c r="S12" s="599"/>
      <c r="T12" s="606"/>
      <c r="U12" s="607"/>
      <c r="V12" s="590"/>
      <c r="W12" s="596"/>
      <c r="X12" s="575">
        <f>IF(AC12&lt;&gt;"","S"&amp;TEXT(WEEKNUM(AC12,21),"00"),"")</f>
      </c>
      <c r="Y12" s="575">
        <f>IF(Data!$AC13="","",YEAR(Data!$AC13))</f>
      </c>
      <c r="Z12" s="575">
        <f>IF(Data!$AC13="","",MONTH(Data!$AC13))</f>
      </c>
      <c r="AA12" s="596"/>
      <c r="AB12" s="608"/>
      <c r="AC12" s="596"/>
      <c r="AD12" s="599"/>
      <c r="AE12" s="596"/>
      <c r="AF12" s="573"/>
      <c r="AG12" s="3"/>
      <c r="AH12" s="590"/>
      <c r="AI12" s="609">
        <v>8</v>
      </c>
      <c r="AJ12" s="610" t="s">
        <v>675</v>
      </c>
      <c r="AK12" s="590"/>
      <c r="AL12" s="610"/>
      <c r="AM12" s="590"/>
      <c r="AN12" s="602"/>
      <c r="AO12" s="590"/>
      <c r="AP12" s="610" t="s">
        <v>676</v>
      </c>
      <c r="AQ12" s="590"/>
      <c r="AR12" s="611"/>
      <c r="AS12" s="590"/>
      <c r="AT12" s="612"/>
      <c r="AU12" s="612"/>
      <c r="AV12" s="587">
        <f>IF(AT12="","",S12-AT12-AU12)</f>
      </c>
      <c r="AW12" s="588">
        <f>IFERROR(IF(tbl_DCFC[[#This Row], [F Montant HT]]="","",tbl_DCFC[[#This Row], [Marge]]/tbl_DCFC[[#This Row], [F Montant HT]]),"")</f>
      </c>
      <c r="AX12" s="8"/>
      <c r="AY12" s="3"/>
      <c r="AZ12" s="3"/>
      <c r="BA12" s="8"/>
    </row>
    <row x14ac:dyDescent="0.25" r="13" customHeight="1" ht="15">
      <c r="A13" s="568"/>
      <c r="B13" s="569">
        <f>IFERROR(INDEX(Tabelle2[BU],MATCH(tbl_DCFC[[#This Row], [Categorie]],CAT,0)),"")</f>
      </c>
      <c r="C13" s="570"/>
      <c r="D13" s="571">
        <v>25569.04218050926</v>
      </c>
      <c r="E13" s="589">
        <v>4620</v>
      </c>
      <c r="F13" s="570" t="s">
        <v>641</v>
      </c>
      <c r="G13" s="570" t="s">
        <v>654</v>
      </c>
      <c r="H13" s="570"/>
      <c r="I13" s="572">
        <v>492</v>
      </c>
      <c r="J13" s="570" t="s">
        <v>281</v>
      </c>
      <c r="K13" s="570" t="s">
        <v>548</v>
      </c>
      <c r="L13" s="570" t="s">
        <v>650</v>
      </c>
      <c r="M13" s="590"/>
      <c r="N13" s="570"/>
      <c r="O13" s="591">
        <f>IF(Data!$Q14="","",YEAR(Data!$Q14))</f>
      </c>
      <c r="P13" s="591">
        <f>IF(Data!$Q14="","",MONTH(Data!$Q14))</f>
      </c>
      <c r="Q13" s="592">
        <v>25569.042181400462</v>
      </c>
      <c r="R13" s="593"/>
      <c r="S13" s="572"/>
      <c r="T13" s="594"/>
      <c r="U13" s="595"/>
      <c r="V13" s="590"/>
      <c r="W13" s="596"/>
      <c r="X13" s="575">
        <f>IF(AC13&lt;&gt;"","S"&amp;TEXT(WEEKNUM(AC13,21),"00"),"")</f>
      </c>
      <c r="Y13" s="575">
        <f>IF(Data!$AC14="","",YEAR(Data!$AC14))</f>
      </c>
      <c r="Z13" s="575">
        <f>IF(Data!$AC14="","",MONTH(Data!$AC14))</f>
      </c>
      <c r="AA13" s="596"/>
      <c r="AB13" s="608"/>
      <c r="AC13" s="596"/>
      <c r="AD13" s="599"/>
      <c r="AE13" s="597">
        <v>25569.042186643517</v>
      </c>
      <c r="AF13" s="573"/>
      <c r="AG13" s="3"/>
      <c r="AH13" s="590"/>
      <c r="AI13" s="600">
        <v>1</v>
      </c>
      <c r="AJ13" s="601" t="s">
        <v>677</v>
      </c>
      <c r="AK13" s="590"/>
      <c r="AL13" s="601" t="s">
        <v>656</v>
      </c>
      <c r="AM13" s="590"/>
      <c r="AN13" s="602"/>
      <c r="AO13" s="590"/>
      <c r="AP13" s="601"/>
      <c r="AQ13" s="590"/>
      <c r="AR13" s="603"/>
      <c r="AS13" s="590"/>
      <c r="AT13" s="604"/>
      <c r="AU13" s="604"/>
      <c r="AV13" s="587">
        <f>IF(AT13="","",S13-AT13-AU13)</f>
      </c>
      <c r="AW13" s="588">
        <f>IFERROR(IF(tbl_DCFC[[#This Row], [F Montant HT]]="","",tbl_DCFC[[#This Row], [Marge]]/tbl_DCFC[[#This Row], [F Montant HT]]),"")</f>
      </c>
      <c r="AX13" s="8"/>
      <c r="AY13" s="3"/>
      <c r="AZ13" s="3"/>
      <c r="BA13" s="8"/>
    </row>
    <row x14ac:dyDescent="0.25" r="14" customHeight="1" ht="15">
      <c r="A14" s="568"/>
      <c r="B14" s="569">
        <f>IFERROR(INDEX(Tabelle2[BU],MATCH(tbl_DCFC[[#This Row], [Categorie]],CAT,0)),"")</f>
      </c>
      <c r="C14" s="570"/>
      <c r="D14" s="571">
        <v>25569.042180601853</v>
      </c>
      <c r="E14" s="589">
        <v>4623</v>
      </c>
      <c r="F14" s="570" t="s">
        <v>641</v>
      </c>
      <c r="G14" s="570" t="s">
        <v>654</v>
      </c>
      <c r="H14" s="570"/>
      <c r="I14" s="572">
        <v>360.65</v>
      </c>
      <c r="J14" s="570" t="s">
        <v>281</v>
      </c>
      <c r="K14" s="570" t="s">
        <v>548</v>
      </c>
      <c r="L14" s="570" t="s">
        <v>650</v>
      </c>
      <c r="M14" s="590"/>
      <c r="N14" s="570"/>
      <c r="O14" s="591">
        <f>IF(Data!$Q15="","",YEAR(Data!$Q15))</f>
      </c>
      <c r="P14" s="591">
        <f>IF(Data!$Q15="","",MONTH(Data!$Q15))</f>
      </c>
      <c r="Q14" s="592">
        <v>25569.042181400462</v>
      </c>
      <c r="R14" s="593"/>
      <c r="S14" s="572"/>
      <c r="T14" s="594"/>
      <c r="U14" s="595"/>
      <c r="V14" s="590"/>
      <c r="W14" s="596"/>
      <c r="X14" s="575">
        <f>IF(AC14&lt;&gt;"","S"&amp;TEXT(WEEKNUM(AC14,21),"00"),"")</f>
      </c>
      <c r="Y14" s="575">
        <f>IF(Data!$AC15="","",YEAR(Data!$AC15))</f>
      </c>
      <c r="Z14" s="575">
        <f>IF(Data!$AC15="","",MONTH(Data!$AC15))</f>
      </c>
      <c r="AA14" s="596"/>
      <c r="AB14" s="608"/>
      <c r="AC14" s="596"/>
      <c r="AD14" s="599"/>
      <c r="AE14" s="597">
        <v>25569.042186643517</v>
      </c>
      <c r="AF14" s="573"/>
      <c r="AG14" s="3"/>
      <c r="AH14" s="590"/>
      <c r="AI14" s="609">
        <v>1</v>
      </c>
      <c r="AJ14" s="610" t="s">
        <v>678</v>
      </c>
      <c r="AK14" s="590"/>
      <c r="AL14" s="610" t="s">
        <v>656</v>
      </c>
      <c r="AM14" s="590"/>
      <c r="AN14" s="602"/>
      <c r="AO14" s="590"/>
      <c r="AP14" s="610"/>
      <c r="AQ14" s="590"/>
      <c r="AR14" s="611"/>
      <c r="AS14" s="590"/>
      <c r="AT14" s="612"/>
      <c r="AU14" s="612"/>
      <c r="AV14" s="587">
        <f>IF(AT14="","",S14-AT14-AU14)</f>
      </c>
      <c r="AW14" s="588">
        <f>IFERROR(IF(tbl_DCFC[[#This Row], [F Montant HT]]="","",tbl_DCFC[[#This Row], [Marge]]/tbl_DCFC[[#This Row], [F Montant HT]]),"")</f>
      </c>
      <c r="AX14" s="8"/>
      <c r="AY14" s="3"/>
      <c r="AZ14" s="3"/>
      <c r="BA14" s="8"/>
    </row>
    <row x14ac:dyDescent="0.25" r="15" customHeight="1" ht="15">
      <c r="A15" s="568"/>
      <c r="B15" s="569">
        <f>IFERROR(INDEX(Tabelle2[BU],MATCH(tbl_DCFC[[#This Row], [Categorie]],CAT,0)),"")</f>
      </c>
      <c r="C15" s="570"/>
      <c r="D15" s="571">
        <v>25569.042181354165</v>
      </c>
      <c r="E15" s="589">
        <v>4626</v>
      </c>
      <c r="F15" s="570" t="s">
        <v>679</v>
      </c>
      <c r="G15" s="570" t="s">
        <v>680</v>
      </c>
      <c r="H15" s="570"/>
      <c r="I15" s="572">
        <v>2193</v>
      </c>
      <c r="J15" s="570" t="s">
        <v>281</v>
      </c>
      <c r="K15" s="570" t="s">
        <v>544</v>
      </c>
      <c r="L15" s="570" t="s">
        <v>642</v>
      </c>
      <c r="M15" s="590"/>
      <c r="N15" s="575">
        <f>IF(Q15&lt;&gt;"","S"&amp;TEXT(WEEKNUM(Q15,21),"00"),"")</f>
      </c>
      <c r="O15" s="575">
        <f>IF(Data!$Q21="","",YEAR(Data!$Q21))</f>
      </c>
      <c r="P15" s="575">
        <f>IF(Data!$Q21="","",MONTH(Data!$Q21))</f>
      </c>
      <c r="Q15" s="596"/>
      <c r="R15" s="605"/>
      <c r="S15" s="599"/>
      <c r="T15" s="606"/>
      <c r="U15" s="607"/>
      <c r="V15" s="590"/>
      <c r="W15" s="596"/>
      <c r="X15" s="575">
        <f>IF(AC15&lt;&gt;"","S"&amp;TEXT(WEEKNUM(AC15,21),"00"),"")</f>
      </c>
      <c r="Y15" s="575">
        <f>IF(Data!$AC21="","",YEAR(Data!$AC21))</f>
      </c>
      <c r="Z15" s="575">
        <f>IF(Data!$AC21="","",MONTH(Data!$AC21))</f>
      </c>
      <c r="AA15" s="596"/>
      <c r="AB15" s="608"/>
      <c r="AC15" s="596"/>
      <c r="AD15" s="599"/>
      <c r="AE15" s="596"/>
      <c r="AF15" s="573"/>
      <c r="AG15" s="3"/>
      <c r="AH15" s="590"/>
      <c r="AI15" s="600">
        <v>1</v>
      </c>
      <c r="AJ15" s="601" t="s">
        <v>681</v>
      </c>
      <c r="AK15" s="590"/>
      <c r="AL15" s="601" t="s">
        <v>682</v>
      </c>
      <c r="AM15" s="590"/>
      <c r="AN15" s="602"/>
      <c r="AO15" s="590"/>
      <c r="AP15" s="601" t="s">
        <v>683</v>
      </c>
      <c r="AQ15" s="590"/>
      <c r="AR15" s="603"/>
      <c r="AS15" s="590"/>
      <c r="AT15" s="604"/>
      <c r="AU15" s="604"/>
      <c r="AV15" s="587">
        <f>IF(AT15="","",S15-AT15-AU15)</f>
      </c>
      <c r="AW15" s="588">
        <f>IFERROR(IF(tbl_DCFC[[#This Row], [F Montant HT]]="","",tbl_DCFC[[#This Row], [Marge]]/tbl_DCFC[[#This Row], [F Montant HT]]),"")</f>
      </c>
      <c r="AX15" s="8"/>
      <c r="AY15" s="3"/>
      <c r="AZ15" s="3"/>
      <c r="BA15" s="8"/>
    </row>
    <row x14ac:dyDescent="0.25" r="16" customHeight="1" ht="15">
      <c r="A16" s="568"/>
      <c r="B16" s="569">
        <f>IFERROR(INDEX(Tabelle2[BU],MATCH(tbl_DCFC[[#This Row], [Categorie]],CAT,0)),"")</f>
      </c>
      <c r="C16" s="570"/>
      <c r="D16" s="571">
        <v>25569.042181354165</v>
      </c>
      <c r="E16" s="589">
        <v>4627</v>
      </c>
      <c r="F16" s="570" t="s">
        <v>641</v>
      </c>
      <c r="G16" s="570" t="s">
        <v>680</v>
      </c>
      <c r="H16" s="570"/>
      <c r="I16" s="572">
        <v>2193</v>
      </c>
      <c r="J16" s="570" t="s">
        <v>281</v>
      </c>
      <c r="K16" s="570" t="s">
        <v>544</v>
      </c>
      <c r="L16" s="570" t="s">
        <v>642</v>
      </c>
      <c r="M16" s="590"/>
      <c r="N16" s="575">
        <f>IF(Q16&lt;&gt;"","S"&amp;TEXT(WEEKNUM(Q16,21),"00"),"")</f>
      </c>
      <c r="O16" s="575">
        <f>IF(Data!$Q22="","",YEAR(Data!$Q22))</f>
      </c>
      <c r="P16" s="575">
        <f>IF(Data!$Q22="","",MONTH(Data!$Q22))</f>
      </c>
      <c r="Q16" s="596"/>
      <c r="R16" s="605"/>
      <c r="S16" s="599"/>
      <c r="T16" s="606"/>
      <c r="U16" s="607"/>
      <c r="V16" s="590"/>
      <c r="W16" s="596"/>
      <c r="X16" s="575">
        <f>IF(AC16&lt;&gt;"","S"&amp;TEXT(WEEKNUM(AC16,21),"00"),"")</f>
      </c>
      <c r="Y16" s="575">
        <f>IF(Data!$AC22="","",YEAR(Data!$AC22))</f>
      </c>
      <c r="Z16" s="575">
        <f>IF(Data!$AC22="","",MONTH(Data!$AC22))</f>
      </c>
      <c r="AA16" s="596"/>
      <c r="AB16" s="608"/>
      <c r="AC16" s="596"/>
      <c r="AD16" s="599"/>
      <c r="AE16" s="596"/>
      <c r="AF16" s="573"/>
      <c r="AG16" s="3"/>
      <c r="AH16" s="590"/>
      <c r="AI16" s="609">
        <v>1</v>
      </c>
      <c r="AJ16" s="610" t="s">
        <v>684</v>
      </c>
      <c r="AK16" s="590"/>
      <c r="AL16" s="610" t="s">
        <v>682</v>
      </c>
      <c r="AM16" s="590"/>
      <c r="AN16" s="602"/>
      <c r="AO16" s="590"/>
      <c r="AP16" s="610" t="s">
        <v>685</v>
      </c>
      <c r="AQ16" s="590"/>
      <c r="AR16" s="611"/>
      <c r="AS16" s="590"/>
      <c r="AT16" s="612"/>
      <c r="AU16" s="612"/>
      <c r="AV16" s="587">
        <f>IF(AT16="","",S16-AT16-AU16)</f>
      </c>
      <c r="AW16" s="588">
        <f>IFERROR(IF(tbl_DCFC[[#This Row], [F Montant HT]]="","",tbl_DCFC[[#This Row], [Marge]]/tbl_DCFC[[#This Row], [F Montant HT]]),"")</f>
      </c>
      <c r="AX16" s="9">
        <v>-7</v>
      </c>
      <c r="AY16" s="3"/>
      <c r="AZ16" s="3"/>
      <c r="BA16" s="9">
        <v>-7</v>
      </c>
    </row>
    <row x14ac:dyDescent="0.25" r="17" customHeight="1" ht="15">
      <c r="A17" s="568"/>
      <c r="B17" s="569">
        <f>IFERROR(INDEX(Tabelle2[BU],MATCH(tbl_DCFC[[#This Row], [Categorie]],CAT,0)),"")</f>
      </c>
      <c r="C17" s="570"/>
      <c r="D17" s="571">
        <v>25569.04218068287</v>
      </c>
      <c r="E17" s="589">
        <v>4630</v>
      </c>
      <c r="F17" s="570" t="s">
        <v>641</v>
      </c>
      <c r="G17" s="570" t="s">
        <v>686</v>
      </c>
      <c r="H17" s="570"/>
      <c r="I17" s="572"/>
      <c r="J17" s="570" t="s">
        <v>281</v>
      </c>
      <c r="K17" s="570" t="s">
        <v>548</v>
      </c>
      <c r="L17" s="570" t="s">
        <v>650</v>
      </c>
      <c r="M17" s="590"/>
      <c r="N17" s="575">
        <f>IF(Q17&lt;&gt;"","S"&amp;TEXT(WEEKNUM(Q17,21),"00"),"")</f>
      </c>
      <c r="O17" s="575">
        <f>IF(Data!$Q16="","",YEAR(Data!$Q16))</f>
      </c>
      <c r="P17" s="575">
        <f>IF(Data!$Q16="","",MONTH(Data!$Q16))</f>
      </c>
      <c r="Q17" s="596"/>
      <c r="R17" s="605"/>
      <c r="S17" s="599"/>
      <c r="T17" s="606"/>
      <c r="U17" s="607"/>
      <c r="V17" s="590"/>
      <c r="W17" s="596"/>
      <c r="X17" s="575">
        <f>IF(AC17&lt;&gt;"","S"&amp;TEXT(WEEKNUM(AC17,21),"00"),"")</f>
      </c>
      <c r="Y17" s="575">
        <f>IF(Data!$AC16="","",YEAR(Data!$AC16))</f>
      </c>
      <c r="Z17" s="575">
        <f>IF(Data!$AC16="","",MONTH(Data!$AC16))</f>
      </c>
      <c r="AA17" s="596"/>
      <c r="AB17" s="608"/>
      <c r="AC17" s="596"/>
      <c r="AD17" s="599"/>
      <c r="AE17" s="596"/>
      <c r="AF17" s="573"/>
      <c r="AG17" s="3"/>
      <c r="AH17" s="590"/>
      <c r="AI17" s="609">
        <v>3</v>
      </c>
      <c r="AJ17" s="610" t="s">
        <v>687</v>
      </c>
      <c r="AK17" s="590"/>
      <c r="AL17" s="610" t="s">
        <v>688</v>
      </c>
      <c r="AM17" s="590"/>
      <c r="AN17" s="602"/>
      <c r="AO17" s="590"/>
      <c r="AP17" s="610" t="s">
        <v>689</v>
      </c>
      <c r="AQ17" s="590"/>
      <c r="AR17" s="611"/>
      <c r="AS17" s="590"/>
      <c r="AT17" s="612"/>
      <c r="AU17" s="612"/>
      <c r="AV17" s="587">
        <f>IF(AT17="","",S17-AT17-AU17)</f>
      </c>
      <c r="AW17" s="588">
        <f>IFERROR(IF(tbl_DCFC[[#This Row], [F Montant HT]]="","",tbl_DCFC[[#This Row], [Marge]]/tbl_DCFC[[#This Row], [F Montant HT]]),"")</f>
      </c>
      <c r="AX17" s="8"/>
      <c r="AY17" s="3"/>
      <c r="AZ17" s="3"/>
      <c r="BA17" s="8"/>
    </row>
    <row x14ac:dyDescent="0.25" r="18" customHeight="1" ht="15">
      <c r="A18" s="568"/>
      <c r="B18" s="569">
        <f>IFERROR(INDEX(Tabelle2[BU],MATCH(tbl_DCFC[[#This Row], [Categorie]],CAT,0)),"")</f>
      </c>
      <c r="C18" s="570"/>
      <c r="D18" s="571">
        <v>25569.04218125</v>
      </c>
      <c r="E18" s="589">
        <v>4631</v>
      </c>
      <c r="F18" s="570" t="s">
        <v>679</v>
      </c>
      <c r="G18" s="570" t="s">
        <v>686</v>
      </c>
      <c r="H18" s="570"/>
      <c r="I18" s="572">
        <v>7057</v>
      </c>
      <c r="J18" s="570" t="s">
        <v>281</v>
      </c>
      <c r="K18" s="570" t="s">
        <v>548</v>
      </c>
      <c r="L18" s="570" t="s">
        <v>650</v>
      </c>
      <c r="M18" s="590"/>
      <c r="N18" s="575">
        <f>IF(Q18&lt;&gt;"","S"&amp;TEXT(WEEKNUM(Q18,21),"00"),"")</f>
      </c>
      <c r="O18" s="575">
        <f>IF(Data!$Q19="","",YEAR(Data!$Q19))</f>
      </c>
      <c r="P18" s="575">
        <f>IF(Data!$Q19="","",MONTH(Data!$Q19))</f>
      </c>
      <c r="Q18" s="596"/>
      <c r="R18" s="605"/>
      <c r="S18" s="599"/>
      <c r="T18" s="606"/>
      <c r="U18" s="607"/>
      <c r="V18" s="590"/>
      <c r="W18" s="596"/>
      <c r="X18" s="575">
        <f>IF(AC18&lt;&gt;"","S"&amp;TEXT(WEEKNUM(AC18,21),"00"),"")</f>
      </c>
      <c r="Y18" s="575">
        <f>IF(Data!$AC19="","",YEAR(Data!$AC19))</f>
      </c>
      <c r="Z18" s="575">
        <f>IF(Data!$AC19="","",MONTH(Data!$AC19))</f>
      </c>
      <c r="AA18" s="596"/>
      <c r="AB18" s="608"/>
      <c r="AC18" s="596"/>
      <c r="AD18" s="599"/>
      <c r="AE18" s="596"/>
      <c r="AF18" s="573"/>
      <c r="AG18" s="3"/>
      <c r="AH18" s="590"/>
      <c r="AI18" s="600">
        <v>1</v>
      </c>
      <c r="AJ18" s="601" t="s">
        <v>690</v>
      </c>
      <c r="AK18" s="590"/>
      <c r="AL18" s="601" t="s">
        <v>691</v>
      </c>
      <c r="AM18" s="590"/>
      <c r="AN18" s="602"/>
      <c r="AO18" s="590"/>
      <c r="AP18" s="601" t="s">
        <v>692</v>
      </c>
      <c r="AQ18" s="590"/>
      <c r="AR18" s="603"/>
      <c r="AS18" s="590"/>
      <c r="AT18" s="604"/>
      <c r="AU18" s="604"/>
      <c r="AV18" s="587">
        <f>IF(AT18="","",S18-AT18-AU18)</f>
      </c>
      <c r="AW18" s="588">
        <f>IFERROR(IF(tbl_DCFC[[#This Row], [F Montant HT]]="","",tbl_DCFC[[#This Row], [Marge]]/tbl_DCFC[[#This Row], [F Montant HT]]),"")</f>
      </c>
      <c r="AX18" s="8"/>
      <c r="AY18" s="3"/>
      <c r="AZ18" s="3"/>
      <c r="BA18" s="8"/>
    </row>
    <row x14ac:dyDescent="0.25" r="19" customHeight="1" ht="15">
      <c r="A19" s="614">
        <v>25569.0421825</v>
      </c>
      <c r="B19" s="569">
        <f>IFERROR(INDEX(Tabelle2[BU],MATCH(tbl_DCFC[[#This Row], [Categorie]],CAT,0)),"")</f>
      </c>
      <c r="C19" s="615">
        <f>IF(D19&lt;&gt;"","S"&amp;TEXT(WEEKNUM(D19,21),"00"),"")</f>
      </c>
      <c r="D19" s="614">
        <v>25569.0421825</v>
      </c>
      <c r="E19" s="599">
        <v>4631</v>
      </c>
      <c r="F19" s="602" t="s">
        <v>693</v>
      </c>
      <c r="G19" s="602" t="s">
        <v>686</v>
      </c>
      <c r="H19" s="602"/>
      <c r="I19" s="599">
        <v>7387</v>
      </c>
      <c r="J19" s="602" t="s">
        <v>281</v>
      </c>
      <c r="K19" s="602" t="s">
        <v>548</v>
      </c>
      <c r="L19" s="616" t="s">
        <v>650</v>
      </c>
      <c r="M19" s="590"/>
      <c r="N19" s="617">
        <f>IF(Q19&lt;&gt;"","S"&amp;TEXT(WEEKNUM(Q19,21),"00"),"")</f>
      </c>
      <c r="O19" s="617">
        <f>IF(Data!$Q53="","",YEAR(Data!$Q53))</f>
      </c>
      <c r="P19" s="617">
        <f>IF(Data!$Q53="","",MONTH(Data!$Q53))</f>
      </c>
      <c r="Q19" s="618"/>
      <c r="R19" s="610"/>
      <c r="S19" s="609"/>
      <c r="T19" s="610"/>
      <c r="U19" s="610"/>
      <c r="V19" s="590"/>
      <c r="W19" s="618"/>
      <c r="X19" s="617">
        <f>IF(AC19&lt;&gt;"","S"&amp;TEXT(WEEKNUM(AC19,21),"00"),"")</f>
      </c>
      <c r="Y19" s="617">
        <f>IF(Data!$AC53="","",YEAR(Data!$AC53))</f>
      </c>
      <c r="Z19" s="617">
        <f>IF(Data!$AC53="","",MONTH(Data!$AC53))</f>
      </c>
      <c r="AA19" s="618"/>
      <c r="AB19" s="619"/>
      <c r="AC19" s="618"/>
      <c r="AD19" s="609"/>
      <c r="AE19" s="618"/>
      <c r="AF19" s="573"/>
      <c r="AG19" s="3"/>
      <c r="AH19" s="590"/>
      <c r="AI19" s="609">
        <v>1</v>
      </c>
      <c r="AJ19" s="610" t="s">
        <v>690</v>
      </c>
      <c r="AK19" s="590"/>
      <c r="AL19" s="610"/>
      <c r="AM19" s="590"/>
      <c r="AN19" s="602"/>
      <c r="AO19" s="590"/>
      <c r="AP19" s="610" t="s">
        <v>692</v>
      </c>
      <c r="AQ19" s="590"/>
      <c r="AR19" s="611"/>
      <c r="AS19" s="590"/>
      <c r="AT19" s="612"/>
      <c r="AU19" s="612"/>
      <c r="AV19" s="587">
        <f>IF(AT19="","",S19-AT19-AU19)</f>
      </c>
      <c r="AW19" s="588">
        <f>IFERROR(IF(tbl_DCFC[[#This Row], [F Montant HT]]="","",tbl_DCFC[[#This Row], [Marge]]/tbl_DCFC[[#This Row], [F Montant HT]]),"")</f>
      </c>
      <c r="AX19" s="8"/>
      <c r="AY19" s="3"/>
      <c r="AZ19" s="3"/>
      <c r="BA19" s="8"/>
    </row>
    <row x14ac:dyDescent="0.25" r="20" customHeight="1" ht="15">
      <c r="A20" s="568"/>
      <c r="B20" s="569">
        <f>IFERROR(INDEX(Tabelle2[BU],MATCH(tbl_DCFC[[#This Row], [Categorie]],CAT,0)),"")</f>
      </c>
      <c r="C20" s="570"/>
      <c r="D20" s="571">
        <v>25569.042181099536</v>
      </c>
      <c r="E20" s="589">
        <v>4633</v>
      </c>
      <c r="F20" s="570" t="s">
        <v>641</v>
      </c>
      <c r="G20" s="570" t="s">
        <v>694</v>
      </c>
      <c r="H20" s="570"/>
      <c r="I20" s="572">
        <v>1200</v>
      </c>
      <c r="J20" s="570" t="s">
        <v>281</v>
      </c>
      <c r="K20" s="570" t="s">
        <v>548</v>
      </c>
      <c r="L20" s="570" t="s">
        <v>650</v>
      </c>
      <c r="M20" s="590"/>
      <c r="N20" s="575">
        <f>IF(Q20&lt;&gt;"","S"&amp;TEXT(WEEKNUM(Q20,21),"00"),"")</f>
      </c>
      <c r="O20" s="575">
        <f>IF(Data!$Q18="","",YEAR(Data!$Q18))</f>
      </c>
      <c r="P20" s="575">
        <f>IF(Data!$Q18="","",MONTH(Data!$Q18))</f>
      </c>
      <c r="Q20" s="596"/>
      <c r="R20" s="605"/>
      <c r="S20" s="599"/>
      <c r="T20" s="606"/>
      <c r="U20" s="607"/>
      <c r="V20" s="590"/>
      <c r="W20" s="596"/>
      <c r="X20" s="575">
        <f>IF(AC20&lt;&gt;"","S"&amp;TEXT(WEEKNUM(AC20,21),"00"),"")</f>
      </c>
      <c r="Y20" s="575">
        <f>IF(Data!$AC18="","",YEAR(Data!$AC18))</f>
      </c>
      <c r="Z20" s="575">
        <f>IF(Data!$AC18="","",MONTH(Data!$AC18))</f>
      </c>
      <c r="AA20" s="596"/>
      <c r="AB20" s="608"/>
      <c r="AC20" s="596"/>
      <c r="AD20" s="599"/>
      <c r="AE20" s="596"/>
      <c r="AF20" s="573"/>
      <c r="AG20" s="3"/>
      <c r="AH20" s="590"/>
      <c r="AI20" s="600">
        <v>13</v>
      </c>
      <c r="AJ20" s="601" t="s">
        <v>695</v>
      </c>
      <c r="AK20" s="590"/>
      <c r="AL20" s="601" t="s">
        <v>696</v>
      </c>
      <c r="AM20" s="590"/>
      <c r="AN20" s="602"/>
      <c r="AO20" s="590"/>
      <c r="AP20" s="601" t="s">
        <v>697</v>
      </c>
      <c r="AQ20" s="590"/>
      <c r="AR20" s="603"/>
      <c r="AS20" s="590"/>
      <c r="AT20" s="604"/>
      <c r="AU20" s="604"/>
      <c r="AV20" s="587">
        <f>IF(AT20="","",S20-AT20-AU20)</f>
      </c>
      <c r="AW20" s="588">
        <f>IFERROR(IF(tbl_DCFC[[#This Row], [F Montant HT]]="","",tbl_DCFC[[#This Row], [Marge]]/tbl_DCFC[[#This Row], [F Montant HT]]),"")</f>
      </c>
      <c r="AX20" s="8"/>
      <c r="AY20" s="3"/>
      <c r="AZ20" s="3"/>
      <c r="BA20" s="8"/>
    </row>
    <row x14ac:dyDescent="0.25" r="21" customHeight="1" ht="15">
      <c r="A21" s="568"/>
      <c r="B21" s="569">
        <f>IFERROR(INDEX(Tabelle2[BU],MATCH(tbl_DCFC[[#This Row], [Categorie]],CAT,0)),"")</f>
      </c>
      <c r="C21" s="570"/>
      <c r="D21" s="571">
        <v>25569.04218068287</v>
      </c>
      <c r="E21" s="589">
        <v>4634</v>
      </c>
      <c r="F21" s="570" t="s">
        <v>641</v>
      </c>
      <c r="G21" s="570" t="s">
        <v>698</v>
      </c>
      <c r="H21" s="570"/>
      <c r="I21" s="572"/>
      <c r="J21" s="570" t="s">
        <v>281</v>
      </c>
      <c r="K21" s="570" t="s">
        <v>544</v>
      </c>
      <c r="L21" s="570" t="s">
        <v>642</v>
      </c>
      <c r="M21" s="590"/>
      <c r="N21" s="575">
        <f>IF(Q21&lt;&gt;"","S"&amp;TEXT(WEEKNUM(Q21,21),"00"),"")</f>
      </c>
      <c r="O21" s="575">
        <f>IF(Data!$Q17="","",YEAR(Data!$Q17))</f>
      </c>
      <c r="P21" s="575">
        <f>IF(Data!$Q17="","",MONTH(Data!$Q17))</f>
      </c>
      <c r="Q21" s="596"/>
      <c r="R21" s="605"/>
      <c r="S21" s="599"/>
      <c r="T21" s="606"/>
      <c r="U21" s="607"/>
      <c r="V21" s="590"/>
      <c r="W21" s="596"/>
      <c r="X21" s="575">
        <f>IF(AC21&lt;&gt;"","S"&amp;TEXT(WEEKNUM(AC21,21),"00"),"")</f>
      </c>
      <c r="Y21" s="575">
        <f>IF(Data!$AC17="","",YEAR(Data!$AC17))</f>
      </c>
      <c r="Z21" s="575">
        <f>IF(Data!$AC17="","",MONTH(Data!$AC17))</f>
      </c>
      <c r="AA21" s="596"/>
      <c r="AB21" s="608"/>
      <c r="AC21" s="596"/>
      <c r="AD21" s="599"/>
      <c r="AE21" s="596"/>
      <c r="AF21" s="573"/>
      <c r="AG21" s="3"/>
      <c r="AH21" s="590"/>
      <c r="AI21" s="609">
        <v>1</v>
      </c>
      <c r="AJ21" s="610" t="s">
        <v>699</v>
      </c>
      <c r="AK21" s="590"/>
      <c r="AL21" s="610" t="s">
        <v>700</v>
      </c>
      <c r="AM21" s="590"/>
      <c r="AN21" s="602"/>
      <c r="AO21" s="590"/>
      <c r="AP21" s="610" t="s">
        <v>701</v>
      </c>
      <c r="AQ21" s="590"/>
      <c r="AR21" s="611"/>
      <c r="AS21" s="590"/>
      <c r="AT21" s="612"/>
      <c r="AU21" s="612"/>
      <c r="AV21" s="587">
        <f>IF(AT21="","",S21-AT21-AU21)</f>
      </c>
      <c r="AW21" s="588">
        <f>IFERROR(IF(tbl_DCFC[[#This Row], [F Montant HT]]="","",tbl_DCFC[[#This Row], [Marge]]/tbl_DCFC[[#This Row], [F Montant HT]]),"")</f>
      </c>
      <c r="AX21" s="8"/>
      <c r="AY21" s="3"/>
      <c r="AZ21" s="3"/>
      <c r="BA21" s="8"/>
    </row>
    <row x14ac:dyDescent="0.25" r="22" customHeight="1" ht="15">
      <c r="A22" s="614">
        <v>25569.04218255787</v>
      </c>
      <c r="B22" s="569">
        <f>IFERROR(INDEX(Tabelle2[BU],MATCH(tbl_DCFC[[#This Row], [Categorie]],CAT,0)),"")</f>
      </c>
      <c r="C22" s="615">
        <f>IF(D22&lt;&gt;"","S"&amp;TEXT(WEEKNUM(D22,21),"00"),"")</f>
      </c>
      <c r="D22" s="614">
        <v>25569.04218255787</v>
      </c>
      <c r="E22" s="599">
        <v>4641</v>
      </c>
      <c r="F22" s="602" t="s">
        <v>679</v>
      </c>
      <c r="G22" s="602" t="s">
        <v>686</v>
      </c>
      <c r="H22" s="602"/>
      <c r="I22" s="599">
        <v>2715</v>
      </c>
      <c r="J22" s="602" t="s">
        <v>281</v>
      </c>
      <c r="K22" s="602" t="s">
        <v>548</v>
      </c>
      <c r="L22" s="616" t="s">
        <v>646</v>
      </c>
      <c r="M22" s="590"/>
      <c r="N22" s="617">
        <f>IF(Q22&lt;&gt;"","S"&amp;TEXT(WEEKNUM(Q22,21),"00"),"")</f>
      </c>
      <c r="O22" s="617">
        <f>IF(Data!$Q56="","",YEAR(Data!$Q56))</f>
      </c>
      <c r="P22" s="617">
        <f>IF(Data!$Q56="","",MONTH(Data!$Q56))</f>
      </c>
      <c r="Q22" s="620">
        <v>25569.04218318287</v>
      </c>
      <c r="R22" s="610" t="s">
        <v>702</v>
      </c>
      <c r="S22" s="609">
        <v>2715</v>
      </c>
      <c r="T22" s="610"/>
      <c r="U22" s="610"/>
      <c r="V22" s="590"/>
      <c r="W22" s="618"/>
      <c r="X22" s="617">
        <f>IF(AC22&lt;&gt;"","S"&amp;TEXT(WEEKNUM(AC22,21),"00"),"")</f>
      </c>
      <c r="Y22" s="617">
        <f>IF(Data!$AC56="","",YEAR(Data!$AC56))</f>
      </c>
      <c r="Z22" s="617">
        <f>IF(Data!$AC56="","",MONTH(Data!$AC56))</f>
      </c>
      <c r="AA22" s="618"/>
      <c r="AB22" s="619"/>
      <c r="AC22" s="618"/>
      <c r="AD22" s="609"/>
      <c r="AE22" s="620">
        <v>25569.042183391204</v>
      </c>
      <c r="AF22" s="573"/>
      <c r="AG22" s="3"/>
      <c r="AH22" s="590"/>
      <c r="AI22" s="609">
        <v>1</v>
      </c>
      <c r="AJ22" s="610" t="s">
        <v>703</v>
      </c>
      <c r="AK22" s="590"/>
      <c r="AL22" s="610" t="s">
        <v>704</v>
      </c>
      <c r="AM22" s="590"/>
      <c r="AN22" s="602"/>
      <c r="AO22" s="590"/>
      <c r="AP22" s="610" t="s">
        <v>705</v>
      </c>
      <c r="AQ22" s="590"/>
      <c r="AR22" s="611"/>
      <c r="AS22" s="590"/>
      <c r="AT22" s="612"/>
      <c r="AU22" s="612"/>
      <c r="AV22" s="587">
        <f>IF(AT22="","",S22-AT22-AU22)</f>
      </c>
      <c r="AW22" s="588">
        <f>IFERROR(IF(tbl_DCFC[[#This Row], [F Montant HT]]="","",tbl_DCFC[[#This Row], [Marge]]/tbl_DCFC[[#This Row], [F Montant HT]]),"")</f>
      </c>
      <c r="AX22" s="8"/>
      <c r="AY22" s="3"/>
      <c r="AZ22" s="3"/>
      <c r="BA22" s="8"/>
    </row>
    <row x14ac:dyDescent="0.25" r="23" customHeight="1" ht="15">
      <c r="A23" s="568"/>
      <c r="B23" s="569">
        <f>IFERROR(INDEX(Tabelle2[BU],MATCH(tbl_DCFC[[#This Row], [Categorie]],CAT,0)),"")</f>
      </c>
      <c r="C23" s="570"/>
      <c r="D23" s="571">
        <v>25569.04218125</v>
      </c>
      <c r="E23" s="589">
        <v>4656</v>
      </c>
      <c r="F23" s="570" t="s">
        <v>641</v>
      </c>
      <c r="G23" s="570" t="s">
        <v>706</v>
      </c>
      <c r="H23" s="570"/>
      <c r="I23" s="572">
        <v>6610</v>
      </c>
      <c r="J23" s="570" t="s">
        <v>281</v>
      </c>
      <c r="K23" s="570" t="s">
        <v>540</v>
      </c>
      <c r="L23" s="570" t="s">
        <v>650</v>
      </c>
      <c r="M23" s="590"/>
      <c r="N23" s="575">
        <f>IF(Q23&lt;&gt;"","S"&amp;TEXT(WEEKNUM(Q23,21),"00"),"")</f>
      </c>
      <c r="O23" s="575">
        <f>IF(Data!$Q20="","",YEAR(Data!$Q20))</f>
      </c>
      <c r="P23" s="575">
        <f>IF(Data!$Q20="","",MONTH(Data!$Q20))</f>
      </c>
      <c r="Q23" s="596"/>
      <c r="R23" s="605"/>
      <c r="S23" s="599"/>
      <c r="T23" s="606"/>
      <c r="U23" s="607"/>
      <c r="V23" s="590"/>
      <c r="W23" s="596"/>
      <c r="X23" s="575">
        <f>IF(AC23&lt;&gt;"","S"&amp;TEXT(WEEKNUM(AC23,21),"00"),"")</f>
      </c>
      <c r="Y23" s="575">
        <f>IF(Data!$AC20="","",YEAR(Data!$AC20))</f>
      </c>
      <c r="Z23" s="575">
        <f>IF(Data!$AC20="","",MONTH(Data!$AC20))</f>
      </c>
      <c r="AA23" s="596"/>
      <c r="AB23" s="608"/>
      <c r="AC23" s="596"/>
      <c r="AD23" s="599"/>
      <c r="AE23" s="596"/>
      <c r="AF23" s="573"/>
      <c r="AG23" s="3"/>
      <c r="AH23" s="590"/>
      <c r="AI23" s="609">
        <v>1</v>
      </c>
      <c r="AJ23" s="610" t="s">
        <v>707</v>
      </c>
      <c r="AK23" s="590"/>
      <c r="AL23" s="610" t="s">
        <v>708</v>
      </c>
      <c r="AM23" s="590"/>
      <c r="AN23" s="602"/>
      <c r="AO23" s="590"/>
      <c r="AP23" s="610" t="s">
        <v>709</v>
      </c>
      <c r="AQ23" s="590"/>
      <c r="AR23" s="611"/>
      <c r="AS23" s="590"/>
      <c r="AT23" s="612"/>
      <c r="AU23" s="612"/>
      <c r="AV23" s="587">
        <f>IF(AT23="","",S23-AT23-AU23)</f>
      </c>
      <c r="AW23" s="588">
        <f>IFERROR(IF(tbl_DCFC[[#This Row], [F Montant HT]]="","",tbl_DCFC[[#This Row], [Marge]]/tbl_DCFC[[#This Row], [F Montant HT]]),"")</f>
      </c>
      <c r="AX23" s="8"/>
      <c r="AY23" s="3"/>
      <c r="AZ23" s="3"/>
      <c r="BA23" s="8"/>
    </row>
    <row x14ac:dyDescent="0.25" r="24" customHeight="1" ht="15">
      <c r="A24" s="568"/>
      <c r="B24" s="569">
        <f>IFERROR(INDEX(Tabelle2[BU],MATCH(tbl_DCFC[[#This Row], [Categorie]],CAT,0)),"")</f>
      </c>
      <c r="C24" s="570"/>
      <c r="D24" s="571">
        <v>25569.04218144676</v>
      </c>
      <c r="E24" s="589">
        <v>4663</v>
      </c>
      <c r="F24" s="570" t="s">
        <v>641</v>
      </c>
      <c r="G24" s="570" t="s">
        <v>710</v>
      </c>
      <c r="H24" s="570"/>
      <c r="I24" s="572"/>
      <c r="J24" s="570" t="s">
        <v>280</v>
      </c>
      <c r="K24" s="570" t="s">
        <v>538</v>
      </c>
      <c r="L24" s="570" t="s">
        <v>650</v>
      </c>
      <c r="M24" s="590"/>
      <c r="N24" s="575">
        <f>IF(Q24&lt;&gt;"","S"&amp;TEXT(WEEKNUM(Q24,21),"00"),"")</f>
      </c>
      <c r="O24" s="575">
        <f>IF(Data!$Q23="","",YEAR(Data!$Q23))</f>
      </c>
      <c r="P24" s="575">
        <f>IF(Data!$Q23="","",MONTH(Data!$Q23))</f>
      </c>
      <c r="Q24" s="596"/>
      <c r="R24" s="605"/>
      <c r="S24" s="599"/>
      <c r="T24" s="606"/>
      <c r="U24" s="607"/>
      <c r="V24" s="590"/>
      <c r="W24" s="596"/>
      <c r="X24" s="575">
        <f>IF(AC24&lt;&gt;"","S"&amp;TEXT(WEEKNUM(AC24,21),"00"),"")</f>
      </c>
      <c r="Y24" s="575">
        <f>IF(Data!$AC23="","",YEAR(Data!$AC23))</f>
      </c>
      <c r="Z24" s="575">
        <f>IF(Data!$AC23="","",MONTH(Data!$AC23))</f>
      </c>
      <c r="AA24" s="596"/>
      <c r="AB24" s="608"/>
      <c r="AC24" s="596"/>
      <c r="AD24" s="599"/>
      <c r="AE24" s="596"/>
      <c r="AF24" s="573"/>
      <c r="AG24" s="3"/>
      <c r="AH24" s="590"/>
      <c r="AI24" s="621"/>
      <c r="AJ24" s="601"/>
      <c r="AK24" s="590"/>
      <c r="AL24" s="601" t="s">
        <v>711</v>
      </c>
      <c r="AM24" s="590"/>
      <c r="AN24" s="602"/>
      <c r="AO24" s="590"/>
      <c r="AP24" s="601" t="s">
        <v>712</v>
      </c>
      <c r="AQ24" s="590"/>
      <c r="AR24" s="603"/>
      <c r="AS24" s="590"/>
      <c r="AT24" s="604"/>
      <c r="AU24" s="604"/>
      <c r="AV24" s="587">
        <f>IF(AT24="","",S24-AT24-AU24)</f>
      </c>
      <c r="AW24" s="588">
        <f>IFERROR(IF(tbl_DCFC[[#This Row], [F Montant HT]]="","",tbl_DCFC[[#This Row], [Marge]]/tbl_DCFC[[#This Row], [F Montant HT]]),"")</f>
      </c>
      <c r="AX24" s="8"/>
      <c r="AY24" s="3"/>
      <c r="AZ24" s="3"/>
      <c r="BA24" s="8"/>
    </row>
    <row x14ac:dyDescent="0.25" r="25" customHeight="1" ht="15">
      <c r="A25" s="568"/>
      <c r="B25" s="569">
        <f>IFERROR(INDEX(Tabelle2[BU],MATCH(tbl_DCFC[[#This Row], [Categorie]],CAT,0)),"")</f>
      </c>
      <c r="C25" s="570"/>
      <c r="D25" s="571">
        <v>25569.04218148148</v>
      </c>
      <c r="E25" s="589">
        <v>4666</v>
      </c>
      <c r="F25" s="570" t="s">
        <v>641</v>
      </c>
      <c r="G25" s="570" t="s">
        <v>713</v>
      </c>
      <c r="H25" s="570"/>
      <c r="I25" s="572"/>
      <c r="J25" s="570" t="s">
        <v>280</v>
      </c>
      <c r="K25" s="570" t="s">
        <v>548</v>
      </c>
      <c r="L25" s="570" t="s">
        <v>646</v>
      </c>
      <c r="M25" s="590"/>
      <c r="N25" s="575">
        <f>IF(Q25&lt;&gt;"","S"&amp;TEXT(WEEKNUM(Q25,21),"00"),"")</f>
      </c>
      <c r="O25" s="575">
        <f>IF(Data!$Q24="","",YEAR(Data!$Q24))</f>
      </c>
      <c r="P25" s="575">
        <f>IF(Data!$Q24="","",MONTH(Data!$Q24))</f>
      </c>
      <c r="Q25" s="596"/>
      <c r="R25" s="605"/>
      <c r="S25" s="599"/>
      <c r="T25" s="606"/>
      <c r="U25" s="607"/>
      <c r="V25" s="590"/>
      <c r="W25" s="596"/>
      <c r="X25" s="575">
        <f>IF(AC25&lt;&gt;"","S"&amp;TEXT(WEEKNUM(AC25,21),"00"),"")</f>
      </c>
      <c r="Y25" s="575">
        <f>IF(Data!$AC24="","",YEAR(Data!$AC24))</f>
      </c>
      <c r="Z25" s="575">
        <f>IF(Data!$AC24="","",MONTH(Data!$AC24))</f>
      </c>
      <c r="AA25" s="596"/>
      <c r="AB25" s="608"/>
      <c r="AC25" s="596"/>
      <c r="AD25" s="599"/>
      <c r="AE25" s="596"/>
      <c r="AF25" s="573"/>
      <c r="AG25" s="3"/>
      <c r="AH25" s="590"/>
      <c r="AI25" s="609">
        <v>1</v>
      </c>
      <c r="AJ25" s="610" t="s">
        <v>714</v>
      </c>
      <c r="AK25" s="590"/>
      <c r="AL25" s="610" t="s">
        <v>715</v>
      </c>
      <c r="AM25" s="590"/>
      <c r="AN25" s="602"/>
      <c r="AO25" s="590"/>
      <c r="AP25" s="610" t="s">
        <v>716</v>
      </c>
      <c r="AQ25" s="590"/>
      <c r="AR25" s="611"/>
      <c r="AS25" s="590"/>
      <c r="AT25" s="612"/>
      <c r="AU25" s="612"/>
      <c r="AV25" s="587">
        <f>IF(AT25="","",S25-AT25-AU25)</f>
      </c>
      <c r="AW25" s="588">
        <f>IFERROR(IF(tbl_DCFC[[#This Row], [F Montant HT]]="","",tbl_DCFC[[#This Row], [Marge]]/tbl_DCFC[[#This Row], [F Montant HT]]),"")</f>
      </c>
      <c r="AX25" s="8"/>
      <c r="AY25" s="3"/>
      <c r="AZ25" s="3"/>
      <c r="BA25" s="8"/>
    </row>
    <row x14ac:dyDescent="0.25" r="26" customHeight="1" ht="15">
      <c r="A26" s="568"/>
      <c r="B26" s="569">
        <f>IFERROR(INDEX(Tabelle2[BU],MATCH(tbl_DCFC[[#This Row], [Categorie]],CAT,0)),"")</f>
      </c>
      <c r="C26" s="570"/>
      <c r="D26" s="571">
        <v>25569.042181516204</v>
      </c>
      <c r="E26" s="589">
        <v>4668</v>
      </c>
      <c r="F26" s="570" t="s">
        <v>641</v>
      </c>
      <c r="G26" s="570" t="s">
        <v>336</v>
      </c>
      <c r="H26" s="570"/>
      <c r="I26" s="572">
        <v>3180</v>
      </c>
      <c r="J26" s="570" t="s">
        <v>281</v>
      </c>
      <c r="K26" s="570" t="s">
        <v>544</v>
      </c>
      <c r="L26" s="570" t="s">
        <v>646</v>
      </c>
      <c r="M26" s="590"/>
      <c r="N26" s="570"/>
      <c r="O26" s="591">
        <f>IF(Data!$Q25="","",YEAR(Data!$Q25))</f>
      </c>
      <c r="P26" s="591">
        <f>IF(Data!$Q25="","",MONTH(Data!$Q25))</f>
      </c>
      <c r="Q26" s="592">
        <v>25569.042181886573</v>
      </c>
      <c r="R26" s="593" t="s">
        <v>717</v>
      </c>
      <c r="S26" s="572">
        <v>3180</v>
      </c>
      <c r="T26" s="594"/>
      <c r="U26" s="595"/>
      <c r="V26" s="590"/>
      <c r="W26" s="597">
        <v>25569.04218189815</v>
      </c>
      <c r="X26" s="575">
        <f>IF(AC26&lt;&gt;"","S"&amp;TEXT(WEEKNUM(AC26,21),"00"),"")</f>
      </c>
      <c r="Y26" s="575">
        <f>IF(Data!$AC25="","",YEAR(Data!$AC25))</f>
      </c>
      <c r="Z26" s="575">
        <f>IF(Data!$AC25="","",MONTH(Data!$AC25))</f>
      </c>
      <c r="AA26" s="597">
        <v>25569.042182534722</v>
      </c>
      <c r="AB26" s="598">
        <v>5188</v>
      </c>
      <c r="AC26" s="597">
        <v>25569.042182569443</v>
      </c>
      <c r="AD26" s="599">
        <v>3180</v>
      </c>
      <c r="AE26" s="597">
        <v>25569.042182974536</v>
      </c>
      <c r="AF26" s="573"/>
      <c r="AG26" s="3"/>
      <c r="AH26" s="590"/>
      <c r="AI26" s="609">
        <v>6</v>
      </c>
      <c r="AJ26" s="610" t="s">
        <v>718</v>
      </c>
      <c r="AK26" s="590"/>
      <c r="AL26" s="610" t="s">
        <v>719</v>
      </c>
      <c r="AM26" s="590"/>
      <c r="AN26" s="602"/>
      <c r="AO26" s="590"/>
      <c r="AP26" s="610" t="s">
        <v>720</v>
      </c>
      <c r="AQ26" s="590"/>
      <c r="AR26" s="611"/>
      <c r="AS26" s="590"/>
      <c r="AT26" s="612">
        <v>1000</v>
      </c>
      <c r="AU26" s="612">
        <v>1437</v>
      </c>
      <c r="AV26" s="587">
        <f>IF(AT26="","",S26-AT26-AU26)</f>
      </c>
      <c r="AW26" s="588">
        <f>IFERROR(IF(tbl_DCFC[[#This Row], [F Montant HT]]="","",tbl_DCFC[[#This Row], [Marge]]/tbl_DCFC[[#This Row], [F Montant HT]]),"")</f>
      </c>
      <c r="AX26" s="8"/>
      <c r="AY26" s="3"/>
      <c r="AZ26" s="3"/>
      <c r="BA26" s="8"/>
    </row>
    <row x14ac:dyDescent="0.25" r="27" customHeight="1" ht="15">
      <c r="A27" s="568"/>
      <c r="B27" s="569">
        <f>IFERROR(INDEX(Tabelle2[BU],MATCH(tbl_DCFC[[#This Row], [Categorie]],CAT,0)),"")</f>
      </c>
      <c r="C27" s="570"/>
      <c r="D27" s="571">
        <v>25569.042181574074</v>
      </c>
      <c r="E27" s="589">
        <v>4670</v>
      </c>
      <c r="F27" s="570" t="s">
        <v>641</v>
      </c>
      <c r="G27" s="570" t="s">
        <v>645</v>
      </c>
      <c r="H27" s="570"/>
      <c r="I27" s="572">
        <v>5515</v>
      </c>
      <c r="J27" s="570" t="s">
        <v>721</v>
      </c>
      <c r="K27" s="570" t="s">
        <v>550</v>
      </c>
      <c r="L27" s="570" t="s">
        <v>642</v>
      </c>
      <c r="M27" s="590"/>
      <c r="N27" s="575">
        <f>IF(Q27&lt;&gt;"","S"&amp;TEXT(WEEKNUM(Q27,21),"00"),"")</f>
      </c>
      <c r="O27" s="575">
        <f>IF(Data!$Q26="","",YEAR(Data!$Q26))</f>
      </c>
      <c r="P27" s="575">
        <f>IF(Data!$Q26="","",MONTH(Data!$Q26))</f>
      </c>
      <c r="Q27" s="596"/>
      <c r="R27" s="605"/>
      <c r="S27" s="599"/>
      <c r="T27" s="606"/>
      <c r="U27" s="607"/>
      <c r="V27" s="590"/>
      <c r="W27" s="596"/>
      <c r="X27" s="575">
        <f>IF(AC27&lt;&gt;"","S"&amp;TEXT(WEEKNUM(AC27,21),"00"),"")</f>
      </c>
      <c r="Y27" s="575">
        <f>IF(Data!$AC26="","",YEAR(Data!$AC26))</f>
      </c>
      <c r="Z27" s="575">
        <f>IF(Data!$AC26="","",MONTH(Data!$AC26))</f>
      </c>
      <c r="AA27" s="596"/>
      <c r="AB27" s="608"/>
      <c r="AC27" s="596"/>
      <c r="AD27" s="599"/>
      <c r="AE27" s="596"/>
      <c r="AF27" s="573"/>
      <c r="AG27" s="3"/>
      <c r="AH27" s="590"/>
      <c r="AI27" s="600">
        <v>1</v>
      </c>
      <c r="AJ27" s="601" t="s">
        <v>722</v>
      </c>
      <c r="AK27" s="590"/>
      <c r="AL27" s="601"/>
      <c r="AM27" s="590"/>
      <c r="AN27" s="602"/>
      <c r="AO27" s="590"/>
      <c r="AP27" s="601"/>
      <c r="AQ27" s="590"/>
      <c r="AR27" s="603"/>
      <c r="AS27" s="590"/>
      <c r="AT27" s="604"/>
      <c r="AU27" s="604"/>
      <c r="AV27" s="587">
        <f>IF(AT27="","",S27-AT27-AU27)</f>
      </c>
      <c r="AW27" s="588">
        <f>IFERROR(IF(tbl_DCFC[[#This Row], [F Montant HT]]="","",tbl_DCFC[[#This Row], [Marge]]/tbl_DCFC[[#This Row], [F Montant HT]]),"")</f>
      </c>
      <c r="AX27" s="8"/>
      <c r="AY27" s="3"/>
      <c r="AZ27" s="3"/>
      <c r="BA27" s="8"/>
    </row>
    <row x14ac:dyDescent="0.25" r="28" customHeight="1" ht="13.5">
      <c r="A28" s="568"/>
      <c r="B28" s="569">
        <f>IFERROR(INDEX(Tabelle2[BU],MATCH(tbl_DCFC[[#This Row], [Categorie]],CAT,0)),"")</f>
      </c>
      <c r="C28" s="570"/>
      <c r="D28" s="571">
        <v>25569.04218158565</v>
      </c>
      <c r="E28" s="589">
        <v>4671</v>
      </c>
      <c r="F28" s="570" t="s">
        <v>641</v>
      </c>
      <c r="G28" s="570" t="s">
        <v>336</v>
      </c>
      <c r="H28" s="570"/>
      <c r="I28" s="572"/>
      <c r="J28" s="570" t="s">
        <v>281</v>
      </c>
      <c r="K28" s="570" t="s">
        <v>551</v>
      </c>
      <c r="L28" s="570" t="s">
        <v>650</v>
      </c>
      <c r="M28" s="590"/>
      <c r="N28" s="575">
        <f>IF(Q28&lt;&gt;"","S"&amp;TEXT(WEEKNUM(Q28,21),"00"),"")</f>
      </c>
      <c r="O28" s="575">
        <f>IF(Data!$Q27="","",YEAR(Data!$Q27))</f>
      </c>
      <c r="P28" s="575">
        <f>IF(Data!$Q27="","",MONTH(Data!$Q27))</f>
      </c>
      <c r="Q28" s="596"/>
      <c r="R28" s="605"/>
      <c r="S28" s="599"/>
      <c r="T28" s="606"/>
      <c r="U28" s="607"/>
      <c r="V28" s="590"/>
      <c r="W28" s="596"/>
      <c r="X28" s="575">
        <f>IF(AC28&lt;&gt;"","S"&amp;TEXT(WEEKNUM(AC28,21),"00"),"")</f>
      </c>
      <c r="Y28" s="575">
        <f>IF(Data!$AC27="","",YEAR(Data!$AC27))</f>
      </c>
      <c r="Z28" s="575">
        <f>IF(Data!$AC27="","",MONTH(Data!$AC27))</f>
      </c>
      <c r="AA28" s="596"/>
      <c r="AB28" s="608"/>
      <c r="AC28" s="596"/>
      <c r="AD28" s="599"/>
      <c r="AE28" s="596"/>
      <c r="AF28" s="573"/>
      <c r="AG28" s="3"/>
      <c r="AH28" s="590"/>
      <c r="AI28" s="609">
        <v>1</v>
      </c>
      <c r="AJ28" s="610" t="s">
        <v>723</v>
      </c>
      <c r="AK28" s="590"/>
      <c r="AL28" s="610" t="s">
        <v>724</v>
      </c>
      <c r="AM28" s="590"/>
      <c r="AN28" s="602"/>
      <c r="AO28" s="590"/>
      <c r="AP28" s="610" t="s">
        <v>725</v>
      </c>
      <c r="AQ28" s="590"/>
      <c r="AR28" s="611"/>
      <c r="AS28" s="590"/>
      <c r="AT28" s="612"/>
      <c r="AU28" s="612"/>
      <c r="AV28" s="587">
        <f>IF(AT28="","",S28-AT28-AU28)</f>
      </c>
      <c r="AW28" s="588">
        <f>IFERROR(IF(tbl_DCFC[[#This Row], [F Montant HT]]="","",tbl_DCFC[[#This Row], [Marge]]/tbl_DCFC[[#This Row], [F Montant HT]]),"")</f>
      </c>
      <c r="AX28" s="8"/>
      <c r="AY28" s="3"/>
      <c r="AZ28" s="3"/>
      <c r="BA28" s="8"/>
    </row>
    <row x14ac:dyDescent="0.25" r="29" customHeight="1" ht="15">
      <c r="A29" s="568"/>
      <c r="B29" s="569">
        <f>IFERROR(INDEX(Tabelle2[BU],MATCH(tbl_DCFC[[#This Row], [Categorie]],CAT,0)),"")</f>
      </c>
      <c r="C29" s="570"/>
      <c r="D29" s="571">
        <v>25569.04218158565</v>
      </c>
      <c r="E29" s="589">
        <v>4673</v>
      </c>
      <c r="F29" s="570" t="s">
        <v>641</v>
      </c>
      <c r="G29" s="570" t="s">
        <v>336</v>
      </c>
      <c r="H29" s="570"/>
      <c r="I29" s="572">
        <v>8579</v>
      </c>
      <c r="J29" s="570" t="s">
        <v>281</v>
      </c>
      <c r="K29" s="570" t="s">
        <v>534</v>
      </c>
      <c r="L29" s="570" t="s">
        <v>646</v>
      </c>
      <c r="M29" s="590"/>
      <c r="N29" s="575">
        <f>IF(Q29&lt;&gt;"","S"&amp;TEXT(WEEKNUM(Q29,21),"00"),"")</f>
      </c>
      <c r="O29" s="575">
        <f>IF(Data!$Q28="","",YEAR(Data!$Q28))</f>
      </c>
      <c r="P29" s="575">
        <f>IF(Data!$Q28="","",MONTH(Data!$Q28))</f>
      </c>
      <c r="Q29" s="597">
        <v>25569.04218303241</v>
      </c>
      <c r="R29" s="605" t="s">
        <v>726</v>
      </c>
      <c r="S29" s="599">
        <v>8579</v>
      </c>
      <c r="T29" s="606"/>
      <c r="U29" s="607"/>
      <c r="V29" s="590"/>
      <c r="W29" s="596"/>
      <c r="X29" s="575">
        <f>IF(AC29&lt;&gt;"","S"&amp;TEXT(WEEKNUM(AC29,21),"00"),"")</f>
      </c>
      <c r="Y29" s="575">
        <f>IF(Data!$AC28="","",YEAR(Data!$AC28))</f>
      </c>
      <c r="Z29" s="575">
        <f>IF(Data!$AC28="","",MONTH(Data!$AC28))</f>
      </c>
      <c r="AA29" s="597">
        <v>25569.042183356483</v>
      </c>
      <c r="AB29" s="598">
        <v>5216</v>
      </c>
      <c r="AC29" s="597">
        <v>25569.042183356483</v>
      </c>
      <c r="AD29" s="599">
        <v>8579</v>
      </c>
      <c r="AE29" s="597">
        <v>25569.042183356483</v>
      </c>
      <c r="AF29" s="573"/>
      <c r="AG29" s="3"/>
      <c r="AH29" s="590"/>
      <c r="AI29" s="609">
        <v>1</v>
      </c>
      <c r="AJ29" s="610" t="s">
        <v>727</v>
      </c>
      <c r="AK29" s="590"/>
      <c r="AL29" s="610"/>
      <c r="AM29" s="590"/>
      <c r="AN29" s="602"/>
      <c r="AO29" s="590"/>
      <c r="AP29" s="610" t="s">
        <v>728</v>
      </c>
      <c r="AQ29" s="590"/>
      <c r="AR29" s="611"/>
      <c r="AS29" s="590"/>
      <c r="AT29" s="612"/>
      <c r="AU29" s="612"/>
      <c r="AV29" s="587">
        <f>IF(AT29="","",S29-AT29-AU29)</f>
      </c>
      <c r="AW29" s="588">
        <f>IFERROR(IF(tbl_DCFC[[#This Row], [F Montant HT]]="","",tbl_DCFC[[#This Row], [Marge]]/tbl_DCFC[[#This Row], [F Montant HT]]),"")</f>
      </c>
      <c r="AX29" s="8"/>
      <c r="AY29" s="3"/>
      <c r="AZ29" s="3"/>
      <c r="BA29" s="8"/>
    </row>
    <row x14ac:dyDescent="0.25" r="30" customHeight="1" ht="15">
      <c r="A30" s="622"/>
      <c r="B30" s="569">
        <f>IFERROR(INDEX(Tabelle2[BU],MATCH(tbl_DCFC[[#This Row], [Categorie]],CAT,0)),"")</f>
      </c>
      <c r="C30" s="623">
        <f>IF(D30&lt;&gt;"","S"&amp;TEXT(WEEKNUM(D30,21),"00"),"")</f>
      </c>
      <c r="D30" s="571">
        <v>25569.042181597222</v>
      </c>
      <c r="E30" s="624">
        <v>4673</v>
      </c>
      <c r="F30" s="625" t="s">
        <v>641</v>
      </c>
      <c r="G30" s="625" t="s">
        <v>336</v>
      </c>
      <c r="H30" s="625"/>
      <c r="I30" s="624">
        <v>9590</v>
      </c>
      <c r="J30" s="625" t="s">
        <v>281</v>
      </c>
      <c r="K30" s="625" t="s">
        <v>538</v>
      </c>
      <c r="L30" s="626" t="s">
        <v>646</v>
      </c>
      <c r="M30" s="590"/>
      <c r="N30" s="617">
        <f>IF(Q30&lt;&gt;"","S"&amp;TEXT(WEEKNUM(Q30,21),"00"),"")</f>
      </c>
      <c r="O30" s="617">
        <f>IF(Data!$Q97="","",YEAR(Data!$Q97))</f>
      </c>
      <c r="P30" s="617">
        <f>IF(Data!$Q97="","",MONTH(Data!$Q97))</f>
      </c>
      <c r="Q30" s="620">
        <v>25569.04218303241</v>
      </c>
      <c r="R30" s="627" t="s">
        <v>726</v>
      </c>
      <c r="S30" s="609">
        <v>9590</v>
      </c>
      <c r="T30" s="610"/>
      <c r="U30" s="610"/>
      <c r="V30" s="590"/>
      <c r="W30" s="618"/>
      <c r="X30" s="617">
        <f>IF(AC30&lt;&gt;"","S"&amp;TEXT(WEEKNUM(AC30,21),"00"),"")</f>
      </c>
      <c r="Y30" s="617">
        <f>IF(Data!$AC97="","",YEAR(Data!$AC97))</f>
      </c>
      <c r="Z30" s="617">
        <f>IF(Data!$AC97="","",MONTH(Data!$AC97))</f>
      </c>
      <c r="AA30" s="618"/>
      <c r="AB30" s="619"/>
      <c r="AC30" s="618"/>
      <c r="AD30" s="609"/>
      <c r="AE30" s="620">
        <v>25569.042183854166</v>
      </c>
      <c r="AF30" s="573"/>
      <c r="AG30" s="3"/>
      <c r="AH30" s="590"/>
      <c r="AI30" s="609">
        <v>1</v>
      </c>
      <c r="AJ30" s="610" t="s">
        <v>729</v>
      </c>
      <c r="AK30" s="590"/>
      <c r="AL30" s="610"/>
      <c r="AM30" s="590"/>
      <c r="AN30" s="602"/>
      <c r="AO30" s="590"/>
      <c r="AP30" s="610" t="s">
        <v>728</v>
      </c>
      <c r="AQ30" s="590"/>
      <c r="AR30" s="611"/>
      <c r="AS30" s="590"/>
      <c r="AT30" s="612"/>
      <c r="AU30" s="612"/>
      <c r="AV30" s="587">
        <f>IF(AT30="","",S30-AT30-AU30)</f>
      </c>
      <c r="AW30" s="588">
        <f>IFERROR(IF(tbl_DCFC[[#This Row], [F Montant HT]]="","",tbl_DCFC[[#This Row], [Marge]]/tbl_DCFC[[#This Row], [F Montant HT]]),"")</f>
      </c>
      <c r="AX30" s="8"/>
      <c r="AY30" s="3"/>
      <c r="AZ30" s="3"/>
      <c r="BA30" s="8"/>
    </row>
    <row x14ac:dyDescent="0.25" r="31" customHeight="1" ht="15">
      <c r="A31" s="568"/>
      <c r="B31" s="569">
        <f>IFERROR(INDEX(Tabelle2[BU],MATCH(tbl_DCFC[[#This Row], [Categorie]],CAT,0)),"")</f>
      </c>
      <c r="C31" s="570"/>
      <c r="D31" s="571">
        <v>25569.04218158565</v>
      </c>
      <c r="E31" s="589">
        <v>4674</v>
      </c>
      <c r="F31" s="570" t="s">
        <v>641</v>
      </c>
      <c r="G31" s="570" t="s">
        <v>336</v>
      </c>
      <c r="H31" s="570"/>
      <c r="I31" s="572"/>
      <c r="J31" s="570" t="s">
        <v>281</v>
      </c>
      <c r="K31" s="570" t="s">
        <v>538</v>
      </c>
      <c r="L31" s="570" t="s">
        <v>650</v>
      </c>
      <c r="M31" s="590"/>
      <c r="N31" s="575">
        <f>IF(Q31&lt;&gt;"","S"&amp;TEXT(WEEKNUM(Q31,21),"00"),"")</f>
      </c>
      <c r="O31" s="575">
        <f>IF(Data!$Q29="","",YEAR(Data!$Q29))</f>
      </c>
      <c r="P31" s="575">
        <f>IF(Data!$Q29="","",MONTH(Data!$Q29))</f>
      </c>
      <c r="Q31" s="596"/>
      <c r="R31" s="605"/>
      <c r="S31" s="599"/>
      <c r="T31" s="606"/>
      <c r="U31" s="607"/>
      <c r="V31" s="590"/>
      <c r="W31" s="596"/>
      <c r="X31" s="575">
        <f>IF(AC31&lt;&gt;"","S"&amp;TEXT(WEEKNUM(AC31,21),"00"),"")</f>
      </c>
      <c r="Y31" s="575">
        <f>IF(Data!$AC29="","",YEAR(Data!$AC29))</f>
      </c>
      <c r="Z31" s="575">
        <f>IF(Data!$AC29="","",MONTH(Data!$AC29))</f>
      </c>
      <c r="AA31" s="596"/>
      <c r="AB31" s="608"/>
      <c r="AC31" s="596"/>
      <c r="AD31" s="599"/>
      <c r="AE31" s="596"/>
      <c r="AF31" s="573"/>
      <c r="AG31" s="3"/>
      <c r="AH31" s="590"/>
      <c r="AI31" s="600">
        <v>6</v>
      </c>
      <c r="AJ31" s="601" t="s">
        <v>730</v>
      </c>
      <c r="AK31" s="590"/>
      <c r="AL31" s="601" t="s">
        <v>731</v>
      </c>
      <c r="AM31" s="590"/>
      <c r="AN31" s="602"/>
      <c r="AO31" s="590"/>
      <c r="AP31" s="601" t="s">
        <v>732</v>
      </c>
      <c r="AQ31" s="590"/>
      <c r="AR31" s="603"/>
      <c r="AS31" s="590"/>
      <c r="AT31" s="604"/>
      <c r="AU31" s="604"/>
      <c r="AV31" s="587">
        <f>IF(AT31="","",S31-AT31-AU31)</f>
      </c>
      <c r="AW31" s="588">
        <f>IFERROR(IF(tbl_DCFC[[#This Row], [F Montant HT]]="","",tbl_DCFC[[#This Row], [Marge]]/tbl_DCFC[[#This Row], [F Montant HT]]),"")</f>
      </c>
      <c r="AX31" s="8"/>
      <c r="AY31" s="3"/>
      <c r="AZ31" s="3"/>
      <c r="BA31" s="8"/>
    </row>
    <row x14ac:dyDescent="0.25" r="32" customHeight="1" ht="15">
      <c r="A32" s="568"/>
      <c r="B32" s="569">
        <f>IFERROR(INDEX(Tabelle2[BU],MATCH(tbl_DCFC[[#This Row], [Categorie]],CAT,0)),"")</f>
      </c>
      <c r="C32" s="570"/>
      <c r="D32" s="571">
        <v>25569.042181805555</v>
      </c>
      <c r="E32" s="589">
        <v>4677</v>
      </c>
      <c r="F32" s="570" t="s">
        <v>641</v>
      </c>
      <c r="G32" s="570" t="s">
        <v>733</v>
      </c>
      <c r="H32" s="570"/>
      <c r="I32" s="572">
        <v>2400</v>
      </c>
      <c r="J32" s="570" t="s">
        <v>280</v>
      </c>
      <c r="K32" s="570" t="s">
        <v>548</v>
      </c>
      <c r="L32" s="570" t="s">
        <v>646</v>
      </c>
      <c r="M32" s="590"/>
      <c r="N32" s="570"/>
      <c r="O32" s="591">
        <f>IF(Data!$Q30="","",YEAR(Data!$Q30))</f>
      </c>
      <c r="P32" s="591">
        <f>IF(Data!$Q30="","",MONTH(Data!$Q30))</f>
      </c>
      <c r="Q32" s="592">
        <v>25569.04218204861</v>
      </c>
      <c r="R32" s="593" t="s">
        <v>734</v>
      </c>
      <c r="S32" s="572">
        <v>2400</v>
      </c>
      <c r="T32" s="594"/>
      <c r="U32" s="595"/>
      <c r="V32" s="590"/>
      <c r="W32" s="596"/>
      <c r="X32" s="575">
        <f>IF(AC32&lt;&gt;"","S"&amp;TEXT(WEEKNUM(AC32,21),"00"),"")</f>
      </c>
      <c r="Y32" s="575">
        <f>IF(Data!$AC30="","",YEAR(Data!$AC30))</f>
      </c>
      <c r="Z32" s="575">
        <f>IF(Data!$AC30="","",MONTH(Data!$AC30))</f>
      </c>
      <c r="AA32" s="596"/>
      <c r="AB32" s="608"/>
      <c r="AC32" s="596"/>
      <c r="AD32" s="599"/>
      <c r="AE32" s="597">
        <v>25569.042186643517</v>
      </c>
      <c r="AF32" s="573"/>
      <c r="AG32" s="3"/>
      <c r="AH32" s="590"/>
      <c r="AI32" s="600">
        <v>1</v>
      </c>
      <c r="AJ32" s="601" t="s">
        <v>735</v>
      </c>
      <c r="AK32" s="590"/>
      <c r="AL32" s="601"/>
      <c r="AM32" s="590"/>
      <c r="AN32" s="602"/>
      <c r="AO32" s="590"/>
      <c r="AP32" s="601" t="s">
        <v>736</v>
      </c>
      <c r="AQ32" s="590"/>
      <c r="AR32" s="603"/>
      <c r="AS32" s="590"/>
      <c r="AT32" s="604"/>
      <c r="AU32" s="604"/>
      <c r="AV32" s="587">
        <f>IF(AT32="","",S32-AT32-AU32)</f>
      </c>
      <c r="AW32" s="588">
        <f>IFERROR(IF(tbl_DCFC[[#This Row], [F Montant HT]]="","",tbl_DCFC[[#This Row], [Marge]]/tbl_DCFC[[#This Row], [F Montant HT]]),"")</f>
      </c>
      <c r="AX32" s="8"/>
      <c r="AY32" s="3"/>
      <c r="AZ32" s="3"/>
      <c r="BA32" s="8"/>
    </row>
    <row x14ac:dyDescent="0.25" r="33" customHeight="1" ht="15">
      <c r="A33" s="568"/>
      <c r="B33" s="569">
        <f>IFERROR(INDEX(Tabelle2[BU],MATCH(tbl_DCFC[[#This Row], [Categorie]],CAT,0)),"")</f>
      </c>
      <c r="C33" s="570"/>
      <c r="D33" s="571">
        <v>25569.04218181713</v>
      </c>
      <c r="E33" s="589">
        <v>4678</v>
      </c>
      <c r="F33" s="570" t="s">
        <v>641</v>
      </c>
      <c r="G33" s="570" t="s">
        <v>645</v>
      </c>
      <c r="H33" s="570"/>
      <c r="I33" s="572">
        <v>4425</v>
      </c>
      <c r="J33" s="570" t="s">
        <v>721</v>
      </c>
      <c r="K33" s="570" t="s">
        <v>550</v>
      </c>
      <c r="L33" s="570" t="s">
        <v>646</v>
      </c>
      <c r="M33" s="590"/>
      <c r="N33" s="570"/>
      <c r="O33" s="591">
        <f>IF(Data!$Q31="","",YEAR(Data!$Q31))</f>
      </c>
      <c r="P33" s="591">
        <f>IF(Data!$Q31="","",MONTH(Data!$Q31))</f>
      </c>
      <c r="Q33" s="592">
        <v>25569.042182141202</v>
      </c>
      <c r="R33" s="593" t="s">
        <v>737</v>
      </c>
      <c r="S33" s="572">
        <v>4425</v>
      </c>
      <c r="T33" s="594"/>
      <c r="U33" s="595"/>
      <c r="V33" s="590"/>
      <c r="W33" s="596"/>
      <c r="X33" s="575">
        <f>IF(AC33&lt;&gt;"","S"&amp;TEXT(WEEKNUM(AC33,21),"00"),"")</f>
      </c>
      <c r="Y33" s="575">
        <f>IF(Data!$AC31="","",YEAR(Data!$AC31))</f>
      </c>
      <c r="Z33" s="575">
        <f>IF(Data!$AC31="","",MONTH(Data!$AC31))</f>
      </c>
      <c r="AA33" s="597">
        <v>25569.042182951387</v>
      </c>
      <c r="AB33" s="598">
        <v>5203</v>
      </c>
      <c r="AC33" s="597">
        <v>25569.042182951387</v>
      </c>
      <c r="AD33" s="599">
        <v>4425</v>
      </c>
      <c r="AE33" s="597">
        <v>25569.04218298611</v>
      </c>
      <c r="AF33" s="573"/>
      <c r="AG33" s="3"/>
      <c r="AH33" s="590"/>
      <c r="AI33" s="609">
        <v>1</v>
      </c>
      <c r="AJ33" s="610" t="s">
        <v>666</v>
      </c>
      <c r="AK33" s="590"/>
      <c r="AL33" s="610"/>
      <c r="AM33" s="590"/>
      <c r="AN33" s="602"/>
      <c r="AO33" s="590"/>
      <c r="AP33" s="610" t="s">
        <v>738</v>
      </c>
      <c r="AQ33" s="590"/>
      <c r="AR33" s="611"/>
      <c r="AS33" s="590"/>
      <c r="AT33" s="612">
        <v>3277.5</v>
      </c>
      <c r="AU33" s="612"/>
      <c r="AV33" s="587">
        <f>IF(AT33="","",S33-AT33-AU33)</f>
      </c>
      <c r="AW33" s="588">
        <f>IFERROR(IF(tbl_DCFC[[#This Row], [F Montant HT]]="","",tbl_DCFC[[#This Row], [Marge]]/tbl_DCFC[[#This Row], [F Montant HT]]),"")</f>
      </c>
      <c r="AX33" s="8"/>
      <c r="AY33" s="3"/>
      <c r="AZ33" s="3"/>
      <c r="BA33" s="8"/>
    </row>
    <row x14ac:dyDescent="0.25" r="34" customHeight="1" ht="15">
      <c r="A34" s="568"/>
      <c r="B34" s="569">
        <f>IFERROR(INDEX(Tabelle2[BU],MATCH(tbl_DCFC[[#This Row], [Categorie]],CAT,0)),"")</f>
      </c>
      <c r="C34" s="570"/>
      <c r="D34" s="571">
        <v>25569.04218181713</v>
      </c>
      <c r="E34" s="589">
        <v>4679</v>
      </c>
      <c r="F34" s="570" t="s">
        <v>641</v>
      </c>
      <c r="G34" s="570" t="s">
        <v>645</v>
      </c>
      <c r="H34" s="570"/>
      <c r="I34" s="572"/>
      <c r="J34" s="570" t="s">
        <v>721</v>
      </c>
      <c r="K34" s="570" t="s">
        <v>550</v>
      </c>
      <c r="L34" s="570" t="s">
        <v>650</v>
      </c>
      <c r="M34" s="590"/>
      <c r="N34" s="575">
        <f>IF(Q34&lt;&gt;"","S"&amp;TEXT(WEEKNUM(Q34,21),"00"),"")</f>
      </c>
      <c r="O34" s="575">
        <f>IF(Data!$Q32="","",YEAR(Data!$Q32))</f>
      </c>
      <c r="P34" s="575">
        <f>IF(Data!$Q32="","",MONTH(Data!$Q32))</f>
      </c>
      <c r="Q34" s="596"/>
      <c r="R34" s="605"/>
      <c r="S34" s="599"/>
      <c r="T34" s="606"/>
      <c r="U34" s="607"/>
      <c r="V34" s="590"/>
      <c r="W34" s="596"/>
      <c r="X34" s="575">
        <f>IF(AC34&lt;&gt;"","S"&amp;TEXT(WEEKNUM(AC34,21),"00"),"")</f>
      </c>
      <c r="Y34" s="575">
        <f>IF(Data!$AC32="","",YEAR(Data!$AC32))</f>
      </c>
      <c r="Z34" s="575">
        <f>IF(Data!$AC32="","",MONTH(Data!$AC32))</f>
      </c>
      <c r="AA34" s="596"/>
      <c r="AB34" s="608"/>
      <c r="AC34" s="596"/>
      <c r="AD34" s="599"/>
      <c r="AE34" s="596"/>
      <c r="AF34" s="573"/>
      <c r="AG34" s="3"/>
      <c r="AH34" s="590"/>
      <c r="AI34" s="600">
        <v>1</v>
      </c>
      <c r="AJ34" s="601" t="s">
        <v>666</v>
      </c>
      <c r="AK34" s="590"/>
      <c r="AL34" s="601"/>
      <c r="AM34" s="590"/>
      <c r="AN34" s="602"/>
      <c r="AO34" s="590"/>
      <c r="AP34" s="601" t="s">
        <v>739</v>
      </c>
      <c r="AQ34" s="590"/>
      <c r="AR34" s="603"/>
      <c r="AS34" s="590"/>
      <c r="AT34" s="604"/>
      <c r="AU34" s="604"/>
      <c r="AV34" s="587">
        <f>IF(AT34="","",S34-AT34-AU34)</f>
      </c>
      <c r="AW34" s="588">
        <f>IFERROR(IF(tbl_DCFC[[#This Row], [F Montant HT]]="","",tbl_DCFC[[#This Row], [Marge]]/tbl_DCFC[[#This Row], [F Montant HT]]),"")</f>
      </c>
      <c r="AX34" s="8"/>
      <c r="AY34" s="3"/>
      <c r="AZ34" s="3"/>
      <c r="BA34" s="8"/>
    </row>
    <row x14ac:dyDescent="0.25" r="35" customHeight="1" ht="15">
      <c r="A35" s="568"/>
      <c r="B35" s="569">
        <f>IFERROR(INDEX(Tabelle2[BU],MATCH(tbl_DCFC[[#This Row], [Categorie]],CAT,0)),"")</f>
      </c>
      <c r="C35" s="570"/>
      <c r="D35" s="571">
        <v>25569.042181886573</v>
      </c>
      <c r="E35" s="589">
        <v>4681</v>
      </c>
      <c r="F35" s="570" t="s">
        <v>641</v>
      </c>
      <c r="G35" s="570" t="s">
        <v>740</v>
      </c>
      <c r="H35" s="570"/>
      <c r="I35" s="572"/>
      <c r="J35" s="570" t="s">
        <v>281</v>
      </c>
      <c r="K35" s="570" t="s">
        <v>550</v>
      </c>
      <c r="L35" s="570" t="s">
        <v>650</v>
      </c>
      <c r="M35" s="590"/>
      <c r="N35" s="575">
        <f>IF(Q35&lt;&gt;"","S"&amp;TEXT(WEEKNUM(Q35,21),"00"),"")</f>
      </c>
      <c r="O35" s="575">
        <f>IF(Data!$Q33="","",YEAR(Data!$Q33))</f>
      </c>
      <c r="P35" s="575">
        <f>IF(Data!$Q33="","",MONTH(Data!$Q33))</f>
      </c>
      <c r="Q35" s="596"/>
      <c r="R35" s="605"/>
      <c r="S35" s="599"/>
      <c r="T35" s="606"/>
      <c r="U35" s="607"/>
      <c r="V35" s="590"/>
      <c r="W35" s="596"/>
      <c r="X35" s="575">
        <f>IF(AC35&lt;&gt;"","S"&amp;TEXT(WEEKNUM(AC35,21),"00"),"")</f>
      </c>
      <c r="Y35" s="575">
        <f>IF(Data!$AC33="","",YEAR(Data!$AC33))</f>
      </c>
      <c r="Z35" s="575">
        <f>IF(Data!$AC33="","",MONTH(Data!$AC33))</f>
      </c>
      <c r="AA35" s="596"/>
      <c r="AB35" s="608"/>
      <c r="AC35" s="596"/>
      <c r="AD35" s="599"/>
      <c r="AE35" s="596"/>
      <c r="AF35" s="573"/>
      <c r="AG35" s="3"/>
      <c r="AH35" s="590"/>
      <c r="AI35" s="609">
        <v>1</v>
      </c>
      <c r="AJ35" s="610" t="s">
        <v>741</v>
      </c>
      <c r="AK35" s="590"/>
      <c r="AL35" s="610" t="s">
        <v>742</v>
      </c>
      <c r="AM35" s="590"/>
      <c r="AN35" s="602"/>
      <c r="AO35" s="590"/>
      <c r="AP35" s="610" t="s">
        <v>743</v>
      </c>
      <c r="AQ35" s="590"/>
      <c r="AR35" s="611"/>
      <c r="AS35" s="590"/>
      <c r="AT35" s="612"/>
      <c r="AU35" s="612"/>
      <c r="AV35" s="587">
        <f>IF(AT35="","",S35-AT35-AU35)</f>
      </c>
      <c r="AW35" s="588">
        <f>IFERROR(IF(tbl_DCFC[[#This Row], [F Montant HT]]="","",tbl_DCFC[[#This Row], [Marge]]/tbl_DCFC[[#This Row], [F Montant HT]]),"")</f>
      </c>
      <c r="AX35" s="8"/>
      <c r="AY35" s="3"/>
      <c r="AZ35" s="3"/>
      <c r="BA35" s="8"/>
    </row>
    <row x14ac:dyDescent="0.25" r="36" customHeight="1" ht="15">
      <c r="A36" s="568"/>
      <c r="B36" s="569">
        <f>IFERROR(INDEX(Tabelle2[BU],MATCH(tbl_DCFC[[#This Row], [Categorie]],CAT,0)),"")</f>
      </c>
      <c r="C36" s="570"/>
      <c r="D36" s="571">
        <v>25569.04218189815</v>
      </c>
      <c r="E36" s="589">
        <v>4683</v>
      </c>
      <c r="F36" s="570" t="s">
        <v>641</v>
      </c>
      <c r="G36" s="570" t="s">
        <v>336</v>
      </c>
      <c r="H36" s="570"/>
      <c r="I36" s="572">
        <v>3460</v>
      </c>
      <c r="J36" s="570" t="s">
        <v>281</v>
      </c>
      <c r="K36" s="570" t="s">
        <v>544</v>
      </c>
      <c r="L36" s="570" t="s">
        <v>646</v>
      </c>
      <c r="M36" s="590"/>
      <c r="N36" s="570"/>
      <c r="O36" s="591">
        <f>IF(Data!$Q34="","",YEAR(Data!$Q34))</f>
      </c>
      <c r="P36" s="591">
        <f>IF(Data!$Q34="","",MONTH(Data!$Q34))</f>
      </c>
      <c r="Q36" s="592">
        <v>25569.042182152778</v>
      </c>
      <c r="R36" s="593" t="s">
        <v>744</v>
      </c>
      <c r="S36" s="572">
        <v>3460</v>
      </c>
      <c r="T36" s="594"/>
      <c r="U36" s="595"/>
      <c r="V36" s="590"/>
      <c r="W36" s="597">
        <v>25569.042182152778</v>
      </c>
      <c r="X36" s="575">
        <f>IF(AC36&lt;&gt;"","S"&amp;TEXT(WEEKNUM(AC36,21),"00"),"")</f>
      </c>
      <c r="Y36" s="575">
        <f>IF(Data!$AC34="","",YEAR(Data!$AC34))</f>
      </c>
      <c r="Z36" s="575">
        <f>IF(Data!$AC34="","",MONTH(Data!$AC34))</f>
      </c>
      <c r="AA36" s="597">
        <v>25569.042182858797</v>
      </c>
      <c r="AB36" s="598">
        <v>5199</v>
      </c>
      <c r="AC36" s="597">
        <v>25569.042182881945</v>
      </c>
      <c r="AD36" s="599">
        <v>3460</v>
      </c>
      <c r="AE36" s="597">
        <v>25569.04218287037</v>
      </c>
      <c r="AF36" s="573"/>
      <c r="AG36" s="3"/>
      <c r="AH36" s="590"/>
      <c r="AI36" s="609">
        <v>6</v>
      </c>
      <c r="AJ36" s="610" t="s">
        <v>745</v>
      </c>
      <c r="AK36" s="590"/>
      <c r="AL36" s="610" t="s">
        <v>746</v>
      </c>
      <c r="AM36" s="590"/>
      <c r="AN36" s="602"/>
      <c r="AO36" s="590"/>
      <c r="AP36" s="3" t="s">
        <v>747</v>
      </c>
      <c r="AQ36" s="590"/>
      <c r="AR36" s="611"/>
      <c r="AS36" s="590"/>
      <c r="AT36" s="612"/>
      <c r="AU36" s="612"/>
      <c r="AV36" s="587">
        <f>IF(AT36="","",S36-AT36-AU36)</f>
      </c>
      <c r="AW36" s="588">
        <f>IFERROR(IF(tbl_DCFC[[#This Row], [F Montant HT]]="","",tbl_DCFC[[#This Row], [Marge]]/tbl_DCFC[[#This Row], [F Montant HT]]),"")</f>
      </c>
      <c r="AX36" s="8"/>
      <c r="AY36" s="3"/>
      <c r="AZ36" s="3"/>
      <c r="BA36" s="8"/>
    </row>
    <row x14ac:dyDescent="0.25" r="37" customHeight="1" ht="15">
      <c r="A37" s="568"/>
      <c r="B37" s="569">
        <f>IFERROR(INDEX(Tabelle2[BU],MATCH(tbl_DCFC[[#This Row], [Categorie]],CAT,0)),"")</f>
      </c>
      <c r="C37" s="570"/>
      <c r="D37" s="571">
        <v>25569.04218189815</v>
      </c>
      <c r="E37" s="589">
        <v>4684</v>
      </c>
      <c r="F37" s="570" t="s">
        <v>641</v>
      </c>
      <c r="G37" s="570" t="s">
        <v>336</v>
      </c>
      <c r="H37" s="570"/>
      <c r="I37" s="572">
        <v>7200</v>
      </c>
      <c r="J37" s="570" t="s">
        <v>281</v>
      </c>
      <c r="K37" s="570" t="s">
        <v>544</v>
      </c>
      <c r="L37" s="570" t="s">
        <v>646</v>
      </c>
      <c r="M37" s="590"/>
      <c r="N37" s="575">
        <f>IF(Q37&lt;&gt;"","S"&amp;TEXT(WEEKNUM(Q37,21),"00"),"")</f>
      </c>
      <c r="O37" s="575">
        <f>IF(Data!$Q35="","",YEAR(Data!$Q35))</f>
      </c>
      <c r="P37" s="575">
        <f>IF(Data!$Q35="","",MONTH(Data!$Q35))</f>
      </c>
      <c r="Q37" s="597">
        <v>25569.042182534722</v>
      </c>
      <c r="R37" s="605" t="s">
        <v>748</v>
      </c>
      <c r="S37" s="599">
        <v>7200</v>
      </c>
      <c r="T37" s="606"/>
      <c r="U37" s="607"/>
      <c r="V37" s="590"/>
      <c r="W37" s="597">
        <v>25569.042182152778</v>
      </c>
      <c r="X37" s="575">
        <f>IF(AC37&lt;&gt;"","S"&amp;TEXT(WEEKNUM(AC37,21),"00"),"")</f>
      </c>
      <c r="Y37" s="575">
        <f>IF(Data!$AC35="","",YEAR(Data!$AC35))</f>
      </c>
      <c r="Z37" s="575">
        <f>IF(Data!$AC35="","",MONTH(Data!$AC35))</f>
      </c>
      <c r="AA37" s="597">
        <v>25569.042182858797</v>
      </c>
      <c r="AB37" s="598">
        <v>5202</v>
      </c>
      <c r="AC37" s="597">
        <v>25569.042182893518</v>
      </c>
      <c r="AD37" s="599">
        <v>7200</v>
      </c>
      <c r="AE37" s="596" t="s">
        <v>749</v>
      </c>
      <c r="AF37" s="573"/>
      <c r="AG37" s="3"/>
      <c r="AH37" s="590"/>
      <c r="AI37" s="600">
        <v>6</v>
      </c>
      <c r="AJ37" s="601" t="s">
        <v>750</v>
      </c>
      <c r="AK37" s="590"/>
      <c r="AL37" s="601" t="s">
        <v>751</v>
      </c>
      <c r="AM37" s="590"/>
      <c r="AN37" s="602"/>
      <c r="AO37" s="590"/>
      <c r="AP37" s="3" t="s">
        <v>752</v>
      </c>
      <c r="AQ37" s="590"/>
      <c r="AR37" s="603"/>
      <c r="AS37" s="590"/>
      <c r="AT37" s="604"/>
      <c r="AU37" s="604">
        <v>550</v>
      </c>
      <c r="AV37" s="587">
        <f>IF(AT37="","",S37-AT37-AU37)</f>
      </c>
      <c r="AW37" s="588">
        <f>IFERROR(IF(tbl_DCFC[[#This Row], [F Montant HT]]="","",tbl_DCFC[[#This Row], [Marge]]/tbl_DCFC[[#This Row], [F Montant HT]]),"")</f>
      </c>
      <c r="AX37" s="8"/>
      <c r="AY37" s="3"/>
      <c r="AZ37" s="3"/>
      <c r="BA37" s="8"/>
    </row>
    <row x14ac:dyDescent="0.25" r="38" customHeight="1" ht="15">
      <c r="A38" s="568"/>
      <c r="B38" s="569">
        <f>IFERROR(INDEX(Tabelle2[BU],MATCH(tbl_DCFC[[#This Row], [Categorie]],CAT,0)),"")</f>
      </c>
      <c r="C38" s="570"/>
      <c r="D38" s="571">
        <v>25569.04218189815</v>
      </c>
      <c r="E38" s="589">
        <v>4685</v>
      </c>
      <c r="F38" s="570" t="s">
        <v>641</v>
      </c>
      <c r="G38" s="570" t="s">
        <v>336</v>
      </c>
      <c r="H38" s="570"/>
      <c r="I38" s="572">
        <v>2650</v>
      </c>
      <c r="J38" s="570" t="s">
        <v>281</v>
      </c>
      <c r="K38" s="570" t="s">
        <v>544</v>
      </c>
      <c r="L38" s="570" t="s">
        <v>646</v>
      </c>
      <c r="M38" s="590"/>
      <c r="N38" s="575">
        <f>IF(Q38&lt;&gt;"","S"&amp;TEXT(WEEKNUM(Q38,21),"00"),"")</f>
      </c>
      <c r="O38" s="575">
        <f>IF(Data!$Q36="","",YEAR(Data!$Q36))</f>
      </c>
      <c r="P38" s="575">
        <f>IF(Data!$Q36="","",MONTH(Data!$Q36))</f>
      </c>
      <c r="Q38" s="597">
        <v>25569.04218258102</v>
      </c>
      <c r="R38" s="605" t="s">
        <v>753</v>
      </c>
      <c r="S38" s="599">
        <v>2650</v>
      </c>
      <c r="T38" s="606"/>
      <c r="U38" s="607"/>
      <c r="V38" s="590"/>
      <c r="W38" s="596"/>
      <c r="X38" s="575">
        <f>IF(AC38&lt;&gt;"","S"&amp;TEXT(WEEKNUM(AC38,21),"00"),"")</f>
      </c>
      <c r="Y38" s="575">
        <f>IF(Data!$AC36="","",YEAR(Data!$AC36))</f>
      </c>
      <c r="Z38" s="575">
        <f>IF(Data!$AC36="","",MONTH(Data!$AC36))</f>
      </c>
      <c r="AA38" s="597">
        <v>25569.042183125</v>
      </c>
      <c r="AB38" s="598">
        <v>5210</v>
      </c>
      <c r="AC38" s="597">
        <v>25569.042183125</v>
      </c>
      <c r="AD38" s="599">
        <v>2650</v>
      </c>
      <c r="AE38" s="597">
        <v>25569.042183379628</v>
      </c>
      <c r="AF38" s="573"/>
      <c r="AG38" s="3"/>
      <c r="AH38" s="590"/>
      <c r="AI38" s="609">
        <v>5</v>
      </c>
      <c r="AJ38" s="610" t="s">
        <v>745</v>
      </c>
      <c r="AK38" s="590"/>
      <c r="AL38" s="610" t="s">
        <v>754</v>
      </c>
      <c r="AM38" s="590"/>
      <c r="AN38" s="602"/>
      <c r="AO38" s="590"/>
      <c r="AP38" s="610" t="s">
        <v>755</v>
      </c>
      <c r="AQ38" s="590"/>
      <c r="AR38" s="611"/>
      <c r="AS38" s="590"/>
      <c r="AT38" s="612">
        <v>1548.5</v>
      </c>
      <c r="AU38" s="612">
        <v>1125.9</v>
      </c>
      <c r="AV38" s="587">
        <f>IF(AT38="","",S38-AT38-AU38)</f>
      </c>
      <c r="AW38" s="588">
        <f>IFERROR(IF(tbl_DCFC[[#This Row], [F Montant HT]]="","",tbl_DCFC[[#This Row], [Marge]]/tbl_DCFC[[#This Row], [F Montant HT]]),"")</f>
      </c>
      <c r="AX38" s="8"/>
      <c r="AY38" s="3"/>
      <c r="AZ38" s="3"/>
      <c r="BA38" s="8"/>
    </row>
    <row x14ac:dyDescent="0.25" r="39" customHeight="1" ht="15">
      <c r="A39" s="614">
        <v>25569.04218287037</v>
      </c>
      <c r="B39" s="569">
        <f>IFERROR(INDEX(Tabelle2[BU],MATCH(tbl_DCFC[[#This Row], [Categorie]],CAT,0)),"")</f>
      </c>
      <c r="C39" s="615">
        <f>IF(D39&lt;&gt;"","S"&amp;TEXT(WEEKNUM(D39,21),"00"),"")</f>
      </c>
      <c r="D39" s="614">
        <v>25569.04218287037</v>
      </c>
      <c r="E39" s="599">
        <v>4685</v>
      </c>
      <c r="F39" s="602" t="s">
        <v>641</v>
      </c>
      <c r="G39" s="602" t="s">
        <v>336</v>
      </c>
      <c r="H39" s="602"/>
      <c r="I39" s="599">
        <v>1320</v>
      </c>
      <c r="J39" s="602" t="s">
        <v>281</v>
      </c>
      <c r="K39" s="602" t="s">
        <v>544</v>
      </c>
      <c r="L39" s="616" t="s">
        <v>646</v>
      </c>
      <c r="M39" s="590"/>
      <c r="N39" s="617">
        <f>IF(Q39&lt;&gt;"","S"&amp;TEXT(WEEKNUM(Q39,21),"00"),"")</f>
      </c>
      <c r="O39" s="617">
        <f>IF(Data!$Q74="","",YEAR(Data!$Q74))</f>
      </c>
      <c r="P39" s="617">
        <f>IF(Data!$Q74="","",MONTH(Data!$Q74))</f>
      </c>
      <c r="Q39" s="620">
        <v>25569.04218258102</v>
      </c>
      <c r="R39" s="610" t="s">
        <v>753</v>
      </c>
      <c r="S39" s="609">
        <v>1100</v>
      </c>
      <c r="T39" s="610"/>
      <c r="U39" s="610"/>
      <c r="V39" s="590"/>
      <c r="W39" s="618"/>
      <c r="X39" s="617">
        <f>IF(AC39&lt;&gt;"","S"&amp;TEXT(WEEKNUM(AC39,21),"00"),"")</f>
      </c>
      <c r="Y39" s="617">
        <f>IF(Data!$AC74="","",YEAR(Data!$AC74))</f>
      </c>
      <c r="Z39" s="617">
        <f>IF(Data!$AC74="","",MONTH(Data!$AC74))</f>
      </c>
      <c r="AA39" s="620">
        <v>25569.042182858797</v>
      </c>
      <c r="AB39" s="609">
        <v>5198</v>
      </c>
      <c r="AC39" s="620">
        <v>25569.042182881945</v>
      </c>
      <c r="AD39" s="609">
        <v>1100</v>
      </c>
      <c r="AE39" s="618"/>
      <c r="AF39" s="573"/>
      <c r="AG39" s="3"/>
      <c r="AH39" s="590"/>
      <c r="AI39" s="609">
        <v>2</v>
      </c>
      <c r="AJ39" s="610" t="s">
        <v>745</v>
      </c>
      <c r="AK39" s="590"/>
      <c r="AL39" s="610" t="s">
        <v>756</v>
      </c>
      <c r="AM39" s="590"/>
      <c r="AN39" s="602"/>
      <c r="AO39" s="590"/>
      <c r="AP39" s="628" t="s">
        <v>755</v>
      </c>
      <c r="AQ39" s="590"/>
      <c r="AR39" s="611"/>
      <c r="AS39" s="590"/>
      <c r="AT39" s="612">
        <v>642.5</v>
      </c>
      <c r="AU39" s="612">
        <v>611.6</v>
      </c>
      <c r="AV39" s="587">
        <f>IF(AT39="","",S39-AT39-AU39)</f>
      </c>
      <c r="AW39" s="588">
        <f>IFERROR(IF(tbl_DCFC[[#This Row], [F Montant HT]]="","",tbl_DCFC[[#This Row], [Marge]]/tbl_DCFC[[#This Row], [F Montant HT]]),"")</f>
      </c>
      <c r="AX39" s="8"/>
      <c r="AY39" s="3"/>
      <c r="AZ39" s="3"/>
      <c r="BA39" s="8"/>
    </row>
    <row x14ac:dyDescent="0.25" r="40" customHeight="1" ht="15">
      <c r="A40" s="568"/>
      <c r="B40" s="569">
        <f>IFERROR(INDEX(Tabelle2[BU],MATCH(tbl_DCFC[[#This Row], [Categorie]],CAT,0)),"")</f>
      </c>
      <c r="C40" s="570"/>
      <c r="D40" s="571">
        <v>25569.04218189815</v>
      </c>
      <c r="E40" s="589">
        <v>4686</v>
      </c>
      <c r="F40" s="570" t="s">
        <v>641</v>
      </c>
      <c r="G40" s="570" t="s">
        <v>336</v>
      </c>
      <c r="H40" s="570"/>
      <c r="I40" s="572">
        <v>15635</v>
      </c>
      <c r="J40" s="570" t="s">
        <v>281</v>
      </c>
      <c r="K40" s="570" t="s">
        <v>544</v>
      </c>
      <c r="L40" s="570" t="s">
        <v>646</v>
      </c>
      <c r="M40" s="590"/>
      <c r="N40" s="575">
        <f>IF(Q40&lt;&gt;"","S"&amp;TEXT(WEEKNUM(Q40,21),"00"),"")</f>
      </c>
      <c r="O40" s="575">
        <f>IF(Data!$Q37="","",YEAR(Data!$Q37))</f>
      </c>
      <c r="P40" s="575">
        <f>IF(Data!$Q37="","",MONTH(Data!$Q37))</f>
      </c>
      <c r="Q40" s="597">
        <v>25569.042182800928</v>
      </c>
      <c r="R40" s="605" t="s">
        <v>757</v>
      </c>
      <c r="S40" s="599">
        <v>5150</v>
      </c>
      <c r="T40" s="606"/>
      <c r="U40" s="607"/>
      <c r="V40" s="590"/>
      <c r="W40" s="596"/>
      <c r="X40" s="575">
        <f>IF(AC40&lt;&gt;"","S"&amp;TEXT(WEEKNUM(AC40,21),"00"),"")</f>
      </c>
      <c r="Y40" s="575">
        <f>IF(Data!$AC37="","",YEAR(Data!$AC37))</f>
      </c>
      <c r="Z40" s="575">
        <f>IF(Data!$AC37="","",MONTH(Data!$AC37))</f>
      </c>
      <c r="AA40" s="597">
        <v>25569.04218303241</v>
      </c>
      <c r="AB40" s="598">
        <v>5206</v>
      </c>
      <c r="AC40" s="597">
        <v>25569.04218304398</v>
      </c>
      <c r="AD40" s="599">
        <v>5150</v>
      </c>
      <c r="AE40" s="597">
        <v>25569.042183541667</v>
      </c>
      <c r="AF40" s="573"/>
      <c r="AG40" s="3"/>
      <c r="AH40" s="590"/>
      <c r="AI40" s="600">
        <v>5</v>
      </c>
      <c r="AJ40" s="601" t="s">
        <v>750</v>
      </c>
      <c r="AK40" s="590"/>
      <c r="AL40" s="610" t="s">
        <v>758</v>
      </c>
      <c r="AM40" s="590"/>
      <c r="AN40" s="602"/>
      <c r="AO40" s="590"/>
      <c r="AP40" s="610" t="s">
        <v>759</v>
      </c>
      <c r="AQ40" s="590"/>
      <c r="AR40" s="603"/>
      <c r="AS40" s="590"/>
      <c r="AT40" s="604">
        <v>2363.02</v>
      </c>
      <c r="AU40" s="604">
        <v>1125</v>
      </c>
      <c r="AV40" s="587">
        <f>IF(AT40="","",S40-AT40-AU40)</f>
      </c>
      <c r="AW40" s="588">
        <f>IFERROR(IF(tbl_DCFC[[#This Row], [F Montant HT]]="","",tbl_DCFC[[#This Row], [Marge]]/tbl_DCFC[[#This Row], [F Montant HT]]),"")</f>
      </c>
      <c r="AX40" s="8"/>
      <c r="AY40" s="3"/>
      <c r="AZ40" s="3"/>
      <c r="BA40" s="8"/>
    </row>
    <row x14ac:dyDescent="0.25" r="41" customHeight="1" ht="15">
      <c r="A41" s="568"/>
      <c r="B41" s="569">
        <f>IFERROR(INDEX(Tabelle2[BU],MATCH(tbl_DCFC[[#This Row], [Categorie]],CAT,0)),"")</f>
      </c>
      <c r="C41" s="570"/>
      <c r="D41" s="571">
        <v>25569.04218189815</v>
      </c>
      <c r="E41" s="589">
        <v>4687</v>
      </c>
      <c r="F41" s="570" t="s">
        <v>641</v>
      </c>
      <c r="G41" s="570" t="s">
        <v>760</v>
      </c>
      <c r="H41" s="570"/>
      <c r="I41" s="572">
        <v>1332</v>
      </c>
      <c r="J41" s="570" t="s">
        <v>281</v>
      </c>
      <c r="K41" s="570" t="s">
        <v>548</v>
      </c>
      <c r="L41" s="570" t="s">
        <v>646</v>
      </c>
      <c r="M41" s="590"/>
      <c r="N41" s="570"/>
      <c r="O41" s="591">
        <f>IF(Data!$Q38="","",YEAR(Data!$Q38))</f>
      </c>
      <c r="P41" s="591">
        <f>IF(Data!$Q38="","",MONTH(Data!$Q38))</f>
      </c>
      <c r="Q41" s="592">
        <v>25569.04218190972</v>
      </c>
      <c r="R41" s="593" t="s">
        <v>761</v>
      </c>
      <c r="S41" s="572">
        <v>1332</v>
      </c>
      <c r="T41" s="594"/>
      <c r="U41" s="595"/>
      <c r="V41" s="590"/>
      <c r="W41" s="597">
        <v>25569.04218190972</v>
      </c>
      <c r="X41" s="575">
        <f>IF(AC41&lt;&gt;"","S"&amp;TEXT(WEEKNUM(AC41,21),"00"),"")</f>
      </c>
      <c r="Y41" s="575">
        <f>IF(Data!$AC38="","",YEAR(Data!$AC38))</f>
      </c>
      <c r="Z41" s="575">
        <f>IF(Data!$AC38="","",MONTH(Data!$AC38))</f>
      </c>
      <c r="AA41" s="597">
        <v>25569.042182569443</v>
      </c>
      <c r="AB41" s="598">
        <v>5189</v>
      </c>
      <c r="AC41" s="597">
        <v>25569.042182627316</v>
      </c>
      <c r="AD41" s="599">
        <v>1332</v>
      </c>
      <c r="AE41" s="597">
        <v>25569.042186643517</v>
      </c>
      <c r="AF41" s="573"/>
      <c r="AG41" s="3"/>
      <c r="AH41" s="590"/>
      <c r="AI41" s="600">
        <v>1</v>
      </c>
      <c r="AJ41" s="601" t="s">
        <v>762</v>
      </c>
      <c r="AK41" s="590"/>
      <c r="AL41" s="610" t="s">
        <v>763</v>
      </c>
      <c r="AM41" s="590"/>
      <c r="AN41" s="602"/>
      <c r="AO41" s="590"/>
      <c r="AP41" s="601" t="s">
        <v>764</v>
      </c>
      <c r="AQ41" s="590"/>
      <c r="AR41" s="603"/>
      <c r="AS41" s="590"/>
      <c r="AT41" s="604">
        <v>106</v>
      </c>
      <c r="AU41" s="604"/>
      <c r="AV41" s="587">
        <f>IF(AT41="","",S41-AT41-AU41)</f>
      </c>
      <c r="AW41" s="588">
        <f>IFERROR(IF(tbl_DCFC[[#This Row], [F Montant HT]]="","",tbl_DCFC[[#This Row], [Marge]]/tbl_DCFC[[#This Row], [F Montant HT]]),"")</f>
      </c>
      <c r="AX41" s="8"/>
      <c r="AY41" s="3"/>
      <c r="AZ41" s="3"/>
      <c r="BA41" s="8"/>
    </row>
    <row x14ac:dyDescent="0.25" r="42" customHeight="1" ht="15">
      <c r="A42" s="568"/>
      <c r="B42" s="569">
        <f>IFERROR(INDEX(Tabelle2[BU],MATCH(tbl_DCFC[[#This Row], [Categorie]],CAT,0)),"")</f>
      </c>
      <c r="C42" s="570"/>
      <c r="D42" s="571">
        <v>25569.042182013887</v>
      </c>
      <c r="E42" s="589">
        <v>4690</v>
      </c>
      <c r="F42" s="570" t="s">
        <v>641</v>
      </c>
      <c r="G42" s="570" t="s">
        <v>765</v>
      </c>
      <c r="H42" s="570"/>
      <c r="I42" s="572">
        <v>9279</v>
      </c>
      <c r="J42" s="570" t="s">
        <v>281</v>
      </c>
      <c r="K42" s="570" t="s">
        <v>548</v>
      </c>
      <c r="L42" s="570" t="s">
        <v>650</v>
      </c>
      <c r="M42" s="590"/>
      <c r="N42" s="575">
        <f>IF(Q42&lt;&gt;"","S"&amp;TEXT(WEEKNUM(Q42,21),"00"),"")</f>
      </c>
      <c r="O42" s="575">
        <f>IF(Data!$Q39="","",YEAR(Data!$Q39))</f>
      </c>
      <c r="P42" s="575">
        <f>IF(Data!$Q39="","",MONTH(Data!$Q39))</f>
      </c>
      <c r="Q42" s="596"/>
      <c r="R42" s="605"/>
      <c r="S42" s="599"/>
      <c r="T42" s="606"/>
      <c r="U42" s="607"/>
      <c r="V42" s="590"/>
      <c r="W42" s="596"/>
      <c r="X42" s="575">
        <f>IF(AC42&lt;&gt;"","S"&amp;TEXT(WEEKNUM(AC42,21),"00"),"")</f>
      </c>
      <c r="Y42" s="575">
        <f>IF(Data!$AC39="","",YEAR(Data!$AC39))</f>
      </c>
      <c r="Z42" s="575">
        <f>IF(Data!$AC39="","",MONTH(Data!$AC39))</f>
      </c>
      <c r="AA42" s="596"/>
      <c r="AB42" s="608"/>
      <c r="AC42" s="596"/>
      <c r="AD42" s="599"/>
      <c r="AE42" s="596"/>
      <c r="AF42" s="573"/>
      <c r="AG42" s="3"/>
      <c r="AH42" s="590"/>
      <c r="AI42" s="609">
        <v>1</v>
      </c>
      <c r="AJ42" s="610" t="s">
        <v>766</v>
      </c>
      <c r="AK42" s="590"/>
      <c r="AL42" s="610" t="s">
        <v>767</v>
      </c>
      <c r="AM42" s="590"/>
      <c r="AN42" s="602"/>
      <c r="AO42" s="590"/>
      <c r="AP42" s="610" t="s">
        <v>768</v>
      </c>
      <c r="AQ42" s="590"/>
      <c r="AR42" s="611"/>
      <c r="AS42" s="590"/>
      <c r="AT42" s="612"/>
      <c r="AU42" s="612"/>
      <c r="AV42" s="587">
        <f>IF(AT42="","",S42-AT42-AU42)</f>
      </c>
      <c r="AW42" s="588">
        <f>IFERROR(IF(tbl_DCFC[[#This Row], [F Montant HT]]="","",tbl_DCFC[[#This Row], [Marge]]/tbl_DCFC[[#This Row], [F Montant HT]]),"")</f>
      </c>
      <c r="AX42" s="8"/>
      <c r="AY42" s="3"/>
      <c r="AZ42" s="3"/>
      <c r="BA42" s="8"/>
    </row>
    <row x14ac:dyDescent="0.25" r="43" customHeight="1" ht="15">
      <c r="A43" s="614">
        <v>25569.042183506943</v>
      </c>
      <c r="B43" s="569">
        <f>IFERROR(INDEX(Tabelle2[BU],MATCH(tbl_DCFC[[#This Row], [Categorie]],CAT,0)),"")</f>
      </c>
      <c r="C43" s="615">
        <f>IF(D43&lt;&gt;"","S"&amp;TEXT(WEEKNUM(D43,21),"00"),"")</f>
      </c>
      <c r="D43" s="614">
        <v>25569.042183506943</v>
      </c>
      <c r="E43" s="599">
        <v>4690</v>
      </c>
      <c r="F43" s="602" t="s">
        <v>679</v>
      </c>
      <c r="G43" s="602" t="s">
        <v>765</v>
      </c>
      <c r="H43" s="602"/>
      <c r="I43" s="599">
        <v>9360</v>
      </c>
      <c r="J43" s="602" t="s">
        <v>281</v>
      </c>
      <c r="K43" s="602" t="s">
        <v>548</v>
      </c>
      <c r="L43" s="616" t="s">
        <v>650</v>
      </c>
      <c r="M43" s="590"/>
      <c r="N43" s="617">
        <f>IF(Q43&lt;&gt;"","S"&amp;TEXT(WEEKNUM(Q43,21),"00"),"")</f>
      </c>
      <c r="O43" s="617">
        <f>IF(Data!$Q131="","",YEAR(Data!$Q131))</f>
      </c>
      <c r="P43" s="617">
        <f>IF(Data!$Q131="","",MONTH(Data!$Q131))</f>
      </c>
      <c r="Q43" s="618"/>
      <c r="R43" s="610"/>
      <c r="S43" s="609"/>
      <c r="T43" s="610"/>
      <c r="U43" s="610"/>
      <c r="V43" s="590"/>
      <c r="W43" s="618"/>
      <c r="X43" s="617">
        <f>IF(AC43&lt;&gt;"","S"&amp;TEXT(WEEKNUM(AC43,21),"00"),"")</f>
      </c>
      <c r="Y43" s="617">
        <f>IF(Data!$AC131="","",YEAR(Data!$AC131))</f>
      </c>
      <c r="Z43" s="617">
        <f>IF(Data!$AC131="","",MONTH(Data!$AC131))</f>
      </c>
      <c r="AA43" s="618"/>
      <c r="AB43" s="619"/>
      <c r="AC43" s="618"/>
      <c r="AD43" s="609"/>
      <c r="AE43" s="618"/>
      <c r="AF43" s="573"/>
      <c r="AG43" s="3"/>
      <c r="AH43" s="590"/>
      <c r="AI43" s="609">
        <v>1</v>
      </c>
      <c r="AJ43" s="610" t="s">
        <v>766</v>
      </c>
      <c r="AK43" s="590"/>
      <c r="AL43" s="610" t="s">
        <v>769</v>
      </c>
      <c r="AM43" s="590"/>
      <c r="AN43" s="602"/>
      <c r="AO43" s="590"/>
      <c r="AP43" s="610" t="s">
        <v>768</v>
      </c>
      <c r="AQ43" s="590"/>
      <c r="AR43" s="611"/>
      <c r="AS43" s="590"/>
      <c r="AT43" s="612"/>
      <c r="AU43" s="612"/>
      <c r="AV43" s="587">
        <f>IF(AT43="","",S43-AT43-AU43)</f>
      </c>
      <c r="AW43" s="588">
        <f>IFERROR(IF(tbl_DCFC[[#This Row], [F Montant HT]]="","",tbl_DCFC[[#This Row], [Marge]]/tbl_DCFC[[#This Row], [F Montant HT]]),"")</f>
      </c>
      <c r="AX43" s="8"/>
      <c r="AY43" s="3"/>
      <c r="AZ43" s="3"/>
      <c r="BA43" s="8"/>
    </row>
    <row x14ac:dyDescent="0.25" r="44" customHeight="1" ht="15">
      <c r="A44" s="614">
        <v>25569.04218351852</v>
      </c>
      <c r="B44" s="569">
        <f>IFERROR(INDEX(Tabelle2[BU],MATCH(tbl_DCFC[[#This Row], [Categorie]],CAT,0)),"")</f>
      </c>
      <c r="C44" s="615">
        <f>IF(D44&lt;&gt;"","S"&amp;TEXT(WEEKNUM(D44,21),"00"),"")</f>
      </c>
      <c r="D44" s="614">
        <v>25569.04218351852</v>
      </c>
      <c r="E44" s="599">
        <v>4690</v>
      </c>
      <c r="F44" s="602" t="s">
        <v>693</v>
      </c>
      <c r="G44" s="602" t="s">
        <v>765</v>
      </c>
      <c r="H44" s="602"/>
      <c r="I44" s="599">
        <v>4586.5</v>
      </c>
      <c r="J44" s="602" t="s">
        <v>281</v>
      </c>
      <c r="K44" s="602" t="s">
        <v>548</v>
      </c>
      <c r="L44" s="616" t="s">
        <v>646</v>
      </c>
      <c r="M44" s="590"/>
      <c r="N44" s="617">
        <f>IF(Q44&lt;&gt;"","S"&amp;TEXT(WEEKNUM(Q44,21),"00"),"")</f>
      </c>
      <c r="O44" s="617">
        <f>IF(Data!$Q133="","",YEAR(Data!$Q133))</f>
      </c>
      <c r="P44" s="617">
        <f>IF(Data!$Q133="","",MONTH(Data!$Q133))</f>
      </c>
      <c r="Q44" s="620">
        <v>25569.04218351852</v>
      </c>
      <c r="R44" s="610" t="s">
        <v>770</v>
      </c>
      <c r="S44" s="609">
        <v>4586.5</v>
      </c>
      <c r="T44" s="610"/>
      <c r="U44" s="610"/>
      <c r="V44" s="590"/>
      <c r="W44" s="618"/>
      <c r="X44" s="617">
        <f>IF(AC44&lt;&gt;"","S"&amp;TEXT(WEEKNUM(AC44,21),"00"),"")</f>
      </c>
      <c r="Y44" s="617">
        <f>IF(Data!$AC133="","",YEAR(Data!$AC133))</f>
      </c>
      <c r="Z44" s="617">
        <f>IF(Data!$AC133="","",MONTH(Data!$AC133))</f>
      </c>
      <c r="AA44" s="618"/>
      <c r="AB44" s="609">
        <v>5228</v>
      </c>
      <c r="AC44" s="620">
        <v>25569.04218353009</v>
      </c>
      <c r="AD44" s="609">
        <v>4586.5</v>
      </c>
      <c r="AE44" s="620">
        <v>25569.042184282407</v>
      </c>
      <c r="AF44" s="573"/>
      <c r="AG44" s="3"/>
      <c r="AH44" s="590"/>
      <c r="AI44" s="609">
        <v>1</v>
      </c>
      <c r="AJ44" s="610" t="s">
        <v>766</v>
      </c>
      <c r="AK44" s="590"/>
      <c r="AL44" s="610" t="s">
        <v>771</v>
      </c>
      <c r="AM44" s="590"/>
      <c r="AN44" s="602"/>
      <c r="AO44" s="590"/>
      <c r="AP44" s="610" t="s">
        <v>768</v>
      </c>
      <c r="AQ44" s="590"/>
      <c r="AR44" s="611"/>
      <c r="AS44" s="590"/>
      <c r="AT44" s="612"/>
      <c r="AU44" s="612"/>
      <c r="AV44" s="587">
        <f>IF(AT44="","",S44-AT44-AU44)</f>
      </c>
      <c r="AW44" s="588">
        <f>IFERROR(IF(tbl_DCFC[[#This Row], [F Montant HT]]="","",tbl_DCFC[[#This Row], [Marge]]/tbl_DCFC[[#This Row], [F Montant HT]]),"")</f>
      </c>
      <c r="AX44" s="8"/>
      <c r="AY44" s="3"/>
      <c r="AZ44" s="3"/>
      <c r="BA44" s="8"/>
    </row>
    <row x14ac:dyDescent="0.25" r="45" customHeight="1" ht="15">
      <c r="A45" s="614">
        <v>25569.04218351852</v>
      </c>
      <c r="B45" s="569">
        <f>IFERROR(INDEX(Tabelle2[BU],MATCH(tbl_DCFC[[#This Row], [Categorie]],CAT,0)),"")</f>
      </c>
      <c r="C45" s="615">
        <f>IF(D45&lt;&gt;"","S"&amp;TEXT(WEEKNUM(D45,21),"00"),"")</f>
      </c>
      <c r="D45" s="614">
        <v>25569.04218351852</v>
      </c>
      <c r="E45" s="599">
        <v>4690</v>
      </c>
      <c r="F45" s="602" t="s">
        <v>693</v>
      </c>
      <c r="G45" s="602" t="s">
        <v>765</v>
      </c>
      <c r="H45" s="602"/>
      <c r="I45" s="599">
        <v>4586.5</v>
      </c>
      <c r="J45" s="602"/>
      <c r="K45" s="602"/>
      <c r="L45" s="616"/>
      <c r="M45" s="590"/>
      <c r="N45" s="617">
        <f>IF(Q45&lt;&gt;"","S"&amp;TEXT(WEEKNUM(Q45,21),"00"),"")</f>
      </c>
      <c r="O45" s="617">
        <f>IF(Data!#REF!="","",YEAR(Data!#REF!))</f>
      </c>
      <c r="P45" s="617">
        <f>IF(Data!#REF!="","",MONTH(Data!#REF!))</f>
      </c>
      <c r="Q45" s="620">
        <v>25569.04218351852</v>
      </c>
      <c r="R45" s="610" t="s">
        <v>770</v>
      </c>
      <c r="S45" s="609">
        <v>4586.5</v>
      </c>
      <c r="T45" s="610"/>
      <c r="U45" s="610"/>
      <c r="V45" s="590"/>
      <c r="W45" s="618"/>
      <c r="X45" s="617">
        <f>IF(AC45&lt;&gt;"","S"&amp;TEXT(WEEKNUM(AC45,21),"00"),"")</f>
      </c>
      <c r="Y45" s="617">
        <f>IF(Data!#REF!="","",YEAR(Data!#REF!))</f>
      </c>
      <c r="Z45" s="617">
        <f>IF(Data!#REF!="","",MONTH(Data!#REF!))</f>
      </c>
      <c r="AA45" s="618"/>
      <c r="AB45" s="619"/>
      <c r="AC45" s="618"/>
      <c r="AD45" s="609"/>
      <c r="AE45" s="618"/>
      <c r="AF45" s="573"/>
      <c r="AG45" s="3"/>
      <c r="AH45" s="590"/>
      <c r="AI45" s="619"/>
      <c r="AJ45" s="610"/>
      <c r="AK45" s="590"/>
      <c r="AL45" s="610"/>
      <c r="AM45" s="590"/>
      <c r="AN45" s="602"/>
      <c r="AO45" s="590"/>
      <c r="AP45" s="610"/>
      <c r="AQ45" s="590"/>
      <c r="AR45" s="611"/>
      <c r="AS45" s="590"/>
      <c r="AT45" s="612"/>
      <c r="AU45" s="612"/>
      <c r="AV45" s="587">
        <f>IF(AT45="","",S45-AT45-AU45)</f>
      </c>
      <c r="AW45" s="588">
        <f>IFERROR(IF(tbl_DCFC[[#This Row], [F Montant HT]]="","",tbl_DCFC[[#This Row], [Marge]]/tbl_DCFC[[#This Row], [F Montant HT]]),"")</f>
      </c>
      <c r="AX45" s="8"/>
      <c r="AY45" s="3"/>
      <c r="AZ45" s="3"/>
      <c r="BA45" s="8"/>
    </row>
    <row x14ac:dyDescent="0.25" r="46" customHeight="1" ht="15">
      <c r="A46" s="568"/>
      <c r="B46" s="569">
        <f>IFERROR(INDEX(Tabelle2[BU],MATCH(tbl_DCFC[[#This Row], [Categorie]],CAT,0)),"")</f>
      </c>
      <c r="C46" s="570"/>
      <c r="D46" s="571">
        <v>25569.042182083333</v>
      </c>
      <c r="E46" s="589">
        <v>4691</v>
      </c>
      <c r="F46" s="570" t="s">
        <v>641</v>
      </c>
      <c r="G46" s="570" t="s">
        <v>765</v>
      </c>
      <c r="H46" s="570"/>
      <c r="I46" s="572">
        <v>1600</v>
      </c>
      <c r="J46" s="570" t="s">
        <v>281</v>
      </c>
      <c r="K46" s="570" t="s">
        <v>548</v>
      </c>
      <c r="L46" s="570" t="s">
        <v>642</v>
      </c>
      <c r="M46" s="590"/>
      <c r="N46" s="575">
        <f>IF(Q46&lt;&gt;"","S"&amp;TEXT(WEEKNUM(Q46,21),"00"),"")</f>
      </c>
      <c r="O46" s="575">
        <f>IF(Data!$Q40="","",YEAR(Data!$Q40))</f>
      </c>
      <c r="P46" s="575">
        <f>IF(Data!$Q40="","",MONTH(Data!$Q40))</f>
      </c>
      <c r="Q46" s="596"/>
      <c r="R46" s="605"/>
      <c r="S46" s="599"/>
      <c r="T46" s="606"/>
      <c r="U46" s="607"/>
      <c r="V46" s="590"/>
      <c r="W46" s="596"/>
      <c r="X46" s="575">
        <f>IF(AC46&lt;&gt;"","S"&amp;TEXT(WEEKNUM(AC46,21),"00"),"")</f>
      </c>
      <c r="Y46" s="575">
        <f>IF(Data!$AC40="","",YEAR(Data!$AC40))</f>
      </c>
      <c r="Z46" s="575">
        <f>IF(Data!$AC40="","",MONTH(Data!$AC40))</f>
      </c>
      <c r="AA46" s="596"/>
      <c r="AB46" s="608"/>
      <c r="AC46" s="596"/>
      <c r="AD46" s="599"/>
      <c r="AE46" s="596"/>
      <c r="AF46" s="573"/>
      <c r="AG46" s="3"/>
      <c r="AH46" s="590"/>
      <c r="AI46" s="600">
        <v>1</v>
      </c>
      <c r="AJ46" s="601" t="s">
        <v>772</v>
      </c>
      <c r="AK46" s="590"/>
      <c r="AL46" s="610" t="s">
        <v>767</v>
      </c>
      <c r="AM46" s="590"/>
      <c r="AN46" s="602"/>
      <c r="AO46" s="590"/>
      <c r="AP46" s="601" t="s">
        <v>773</v>
      </c>
      <c r="AQ46" s="590"/>
      <c r="AR46" s="603"/>
      <c r="AS46" s="590"/>
      <c r="AT46" s="604"/>
      <c r="AU46" s="604"/>
      <c r="AV46" s="587">
        <f>IF(AT46="","",S46-AT46-AU46)</f>
      </c>
      <c r="AW46" s="588">
        <f>IFERROR(IF(tbl_DCFC[[#This Row], [F Montant HT]]="","",tbl_DCFC[[#This Row], [Marge]]/tbl_DCFC[[#This Row], [F Montant HT]]),"")</f>
      </c>
      <c r="AX46" s="8"/>
      <c r="AY46" s="3"/>
      <c r="AZ46" s="3"/>
      <c r="BA46" s="8"/>
    </row>
    <row x14ac:dyDescent="0.25" r="47" customHeight="1" ht="15">
      <c r="A47" s="568"/>
      <c r="B47" s="569">
        <f>IFERROR(INDEX(Tabelle2[BU],MATCH(tbl_DCFC[[#This Row], [Categorie]],CAT,0)),"")</f>
      </c>
      <c r="C47" s="570"/>
      <c r="D47" s="571">
        <v>25569.042182083333</v>
      </c>
      <c r="E47" s="589">
        <v>4692</v>
      </c>
      <c r="F47" s="570" t="s">
        <v>641</v>
      </c>
      <c r="G47" s="570" t="s">
        <v>336</v>
      </c>
      <c r="H47" s="570"/>
      <c r="I47" s="572"/>
      <c r="J47" s="570" t="s">
        <v>281</v>
      </c>
      <c r="K47" s="570" t="s">
        <v>538</v>
      </c>
      <c r="L47" s="570" t="s">
        <v>774</v>
      </c>
      <c r="M47" s="590"/>
      <c r="N47" s="575">
        <f>IF(Q47&lt;&gt;"","S"&amp;TEXT(WEEKNUM(Q47,21),"00"),"")</f>
      </c>
      <c r="O47" s="575">
        <f>IF(Data!$Q41="","",YEAR(Data!$Q41))</f>
      </c>
      <c r="P47" s="575">
        <f>IF(Data!$Q41="","",MONTH(Data!$Q41))</f>
      </c>
      <c r="Q47" s="596"/>
      <c r="R47" s="605"/>
      <c r="S47" s="599"/>
      <c r="T47" s="606"/>
      <c r="U47" s="607"/>
      <c r="V47" s="590"/>
      <c r="W47" s="596"/>
      <c r="X47" s="575">
        <f>IF(AC47&lt;&gt;"","S"&amp;TEXT(WEEKNUM(AC47,21),"00"),"")</f>
      </c>
      <c r="Y47" s="575">
        <f>IF(Data!$AC41="","",YEAR(Data!$AC41))</f>
      </c>
      <c r="Z47" s="575">
        <f>IF(Data!$AC41="","",MONTH(Data!$AC41))</f>
      </c>
      <c r="AA47" s="596"/>
      <c r="AB47" s="608"/>
      <c r="AC47" s="596"/>
      <c r="AD47" s="599"/>
      <c r="AE47" s="596"/>
      <c r="AF47" s="573"/>
      <c r="AG47" s="3"/>
      <c r="AH47" s="590"/>
      <c r="AI47" s="609">
        <v>6</v>
      </c>
      <c r="AJ47" s="610" t="s">
        <v>775</v>
      </c>
      <c r="AK47" s="590"/>
      <c r="AL47" s="610" t="s">
        <v>776</v>
      </c>
      <c r="AM47" s="590"/>
      <c r="AN47" s="602"/>
      <c r="AO47" s="590"/>
      <c r="AP47" s="610" t="s">
        <v>777</v>
      </c>
      <c r="AQ47" s="590"/>
      <c r="AR47" s="611"/>
      <c r="AS47" s="590"/>
      <c r="AT47" s="612"/>
      <c r="AU47" s="612"/>
      <c r="AV47" s="587">
        <f>IF(AT47="","",S47-AT47-AU47)</f>
      </c>
      <c r="AW47" s="588">
        <f>IFERROR(IF(tbl_DCFC[[#This Row], [F Montant HT]]="","",tbl_DCFC[[#This Row], [Marge]]/tbl_DCFC[[#This Row], [F Montant HT]]),"")</f>
      </c>
      <c r="AX47" s="8"/>
      <c r="AY47" s="3"/>
      <c r="AZ47" s="3"/>
      <c r="BA47" s="8"/>
    </row>
    <row x14ac:dyDescent="0.25" r="48" customHeight="1" ht="15">
      <c r="A48" s="568"/>
      <c r="B48" s="569">
        <f>IFERROR(INDEX(Tabelle2[BU],MATCH(tbl_DCFC[[#This Row], [Categorie]],CAT,0)),"")</f>
      </c>
      <c r="C48" s="570"/>
      <c r="D48" s="571">
        <v>25569.042182083333</v>
      </c>
      <c r="E48" s="589">
        <v>4693</v>
      </c>
      <c r="F48" s="570" t="s">
        <v>641</v>
      </c>
      <c r="G48" s="570" t="s">
        <v>778</v>
      </c>
      <c r="H48" s="570"/>
      <c r="I48" s="572">
        <v>5877</v>
      </c>
      <c r="J48" s="570" t="s">
        <v>281</v>
      </c>
      <c r="K48" s="570" t="s">
        <v>548</v>
      </c>
      <c r="L48" s="570" t="s">
        <v>646</v>
      </c>
      <c r="M48" s="590"/>
      <c r="N48" s="570"/>
      <c r="O48" s="591">
        <f>IF(Data!$Q42="","",YEAR(Data!$Q42))</f>
      </c>
      <c r="P48" s="591">
        <f>IF(Data!$Q42="","",MONTH(Data!$Q42))</f>
      </c>
      <c r="Q48" s="592">
        <v>25569.042182083333</v>
      </c>
      <c r="R48" s="593" t="s">
        <v>779</v>
      </c>
      <c r="S48" s="572">
        <v>5877</v>
      </c>
      <c r="T48" s="594"/>
      <c r="U48" s="595"/>
      <c r="V48" s="590"/>
      <c r="W48" s="597">
        <v>25569.04218209491</v>
      </c>
      <c r="X48" s="575">
        <f>IF(AC48&lt;&gt;"","S"&amp;TEXT(WEEKNUM(AC48,21),"00"),"")</f>
      </c>
      <c r="Y48" s="575">
        <f>IF(Data!$AC42="","",YEAR(Data!$AC42))</f>
      </c>
      <c r="Z48" s="575">
        <f>IF(Data!$AC42="","",MONTH(Data!$AC42))</f>
      </c>
      <c r="AA48" s="596"/>
      <c r="AB48" s="608"/>
      <c r="AC48" s="596"/>
      <c r="AD48" s="599"/>
      <c r="AE48" s="597">
        <v>25569.042183796297</v>
      </c>
      <c r="AF48" s="573"/>
      <c r="AG48" s="3"/>
      <c r="AH48" s="590"/>
      <c r="AI48" s="600">
        <v>1</v>
      </c>
      <c r="AJ48" s="601" t="s">
        <v>780</v>
      </c>
      <c r="AK48" s="590"/>
      <c r="AL48" s="610" t="s">
        <v>781</v>
      </c>
      <c r="AM48" s="590"/>
      <c r="AN48" s="602"/>
      <c r="AO48" s="590"/>
      <c r="AP48" s="601" t="s">
        <v>782</v>
      </c>
      <c r="AQ48" s="590"/>
      <c r="AR48" s="603"/>
      <c r="AS48" s="590"/>
      <c r="AT48" s="604"/>
      <c r="AU48" s="604"/>
      <c r="AV48" s="587">
        <f>IF(AT48="","",S48-AT48-AU48)</f>
      </c>
      <c r="AW48" s="588">
        <f>IFERROR(IF(tbl_DCFC[[#This Row], [F Montant HT]]="","",tbl_DCFC[[#This Row], [Marge]]/tbl_DCFC[[#This Row], [F Montant HT]]),"")</f>
      </c>
      <c r="AX48" s="8"/>
      <c r="AY48" s="3"/>
      <c r="AZ48" s="3"/>
      <c r="BA48" s="8"/>
    </row>
    <row x14ac:dyDescent="0.25" r="49" customHeight="1" ht="15">
      <c r="A49" s="568"/>
      <c r="B49" s="569">
        <f>IFERROR(INDEX(Tabelle2[BU],MATCH(tbl_DCFC[[#This Row], [Categorie]],CAT,0)),"")</f>
      </c>
      <c r="C49" s="570"/>
      <c r="D49" s="571">
        <v>25569.042182083333</v>
      </c>
      <c r="E49" s="589">
        <v>4694</v>
      </c>
      <c r="F49" s="570" t="s">
        <v>641</v>
      </c>
      <c r="G49" s="570" t="s">
        <v>645</v>
      </c>
      <c r="H49" s="570"/>
      <c r="I49" s="572">
        <v>6097.5</v>
      </c>
      <c r="J49" s="570" t="s">
        <v>280</v>
      </c>
      <c r="K49" s="570" t="s">
        <v>548</v>
      </c>
      <c r="L49" s="570" t="s">
        <v>642</v>
      </c>
      <c r="M49" s="590"/>
      <c r="N49" s="575">
        <f>IF(Q49&lt;&gt;"","S"&amp;TEXT(WEEKNUM(Q49,21),"00"),"")</f>
      </c>
      <c r="O49" s="575">
        <f>IF(Data!$Q43="","",YEAR(Data!$Q43))</f>
      </c>
      <c r="P49" s="575">
        <f>IF(Data!$Q43="","",MONTH(Data!$Q43))</f>
      </c>
      <c r="Q49" s="596"/>
      <c r="R49" s="605"/>
      <c r="S49" s="599"/>
      <c r="T49" s="606"/>
      <c r="U49" s="607"/>
      <c r="V49" s="590"/>
      <c r="W49" s="596"/>
      <c r="X49" s="575">
        <f>IF(AC49&lt;&gt;"","S"&amp;TEXT(WEEKNUM(AC49,21),"00"),"")</f>
      </c>
      <c r="Y49" s="575">
        <f>IF(Data!$AC43="","",YEAR(Data!$AC43))</f>
      </c>
      <c r="Z49" s="575">
        <f>IF(Data!$AC43="","",MONTH(Data!$AC43))</f>
      </c>
      <c r="AA49" s="596"/>
      <c r="AB49" s="608"/>
      <c r="AC49" s="596"/>
      <c r="AD49" s="599"/>
      <c r="AE49" s="596"/>
      <c r="AF49" s="573"/>
      <c r="AG49" s="3"/>
      <c r="AH49" s="590"/>
      <c r="AI49" s="609">
        <v>5</v>
      </c>
      <c r="AJ49" s="610" t="s">
        <v>783</v>
      </c>
      <c r="AK49" s="590"/>
      <c r="AL49" s="610"/>
      <c r="AM49" s="590"/>
      <c r="AN49" s="602"/>
      <c r="AO49" s="590"/>
      <c r="AP49" s="610" t="s">
        <v>784</v>
      </c>
      <c r="AQ49" s="590"/>
      <c r="AR49" s="611"/>
      <c r="AS49" s="590"/>
      <c r="AT49" s="612"/>
      <c r="AU49" s="612"/>
      <c r="AV49" s="587">
        <f>IF(AT49="","",S49-AT49-AU49)</f>
      </c>
      <c r="AW49" s="588">
        <f>IFERROR(IF(tbl_DCFC[[#This Row], [F Montant HT]]="","",tbl_DCFC[[#This Row], [Marge]]/tbl_DCFC[[#This Row], [F Montant HT]]),"")</f>
      </c>
      <c r="AX49" s="8"/>
      <c r="AY49" s="3"/>
      <c r="AZ49" s="3"/>
      <c r="BA49" s="8"/>
    </row>
    <row x14ac:dyDescent="0.25" r="50" customHeight="1" ht="15">
      <c r="A50" s="568"/>
      <c r="B50" s="569">
        <f>IFERROR(INDEX(Tabelle2[BU],MATCH(tbl_DCFC[[#This Row], [Categorie]],CAT,0)),"")</f>
      </c>
      <c r="C50" s="570"/>
      <c r="D50" s="571">
        <v>25569.04218212963</v>
      </c>
      <c r="E50" s="589">
        <v>4695</v>
      </c>
      <c r="F50" s="570" t="s">
        <v>641</v>
      </c>
      <c r="G50" s="570" t="s">
        <v>710</v>
      </c>
      <c r="H50" s="570"/>
      <c r="I50" s="572">
        <v>2750</v>
      </c>
      <c r="J50" s="570" t="s">
        <v>281</v>
      </c>
      <c r="K50" s="570" t="s">
        <v>538</v>
      </c>
      <c r="L50" s="570" t="s">
        <v>646</v>
      </c>
      <c r="M50" s="590"/>
      <c r="N50" s="570"/>
      <c r="O50" s="591">
        <f>IF(Data!$Q44="","",YEAR(Data!$Q44))</f>
      </c>
      <c r="P50" s="591">
        <f>IF(Data!$Q44="","",MONTH(Data!$Q44))</f>
      </c>
      <c r="Q50" s="592">
        <v>25569.04218230324</v>
      </c>
      <c r="R50" s="593" t="s">
        <v>785</v>
      </c>
      <c r="S50" s="572">
        <v>2750</v>
      </c>
      <c r="T50" s="594"/>
      <c r="U50" s="595"/>
      <c r="V50" s="590"/>
      <c r="W50" s="596"/>
      <c r="X50" s="575">
        <f>IF(AC50&lt;&gt;"","S"&amp;TEXT(WEEKNUM(AC50,21),"00"),"")</f>
      </c>
      <c r="Y50" s="575">
        <f>IF(Data!$AC44="","",YEAR(Data!$AC44))</f>
      </c>
      <c r="Z50" s="575">
        <f>IF(Data!$AC44="","",MONTH(Data!$AC44))</f>
      </c>
      <c r="AA50" s="597">
        <v>25569.04218263889</v>
      </c>
      <c r="AB50" s="598">
        <v>5191</v>
      </c>
      <c r="AC50" s="597">
        <v>25569.042182650464</v>
      </c>
      <c r="AD50" s="599">
        <v>2750</v>
      </c>
      <c r="AE50" s="597">
        <v>25569.042182743055</v>
      </c>
      <c r="AF50" s="573"/>
      <c r="AG50" s="3"/>
      <c r="AH50" s="590"/>
      <c r="AI50" s="600">
        <v>2</v>
      </c>
      <c r="AJ50" s="601" t="s">
        <v>786</v>
      </c>
      <c r="AK50" s="590"/>
      <c r="AL50" s="610" t="s">
        <v>787</v>
      </c>
      <c r="AM50" s="590"/>
      <c r="AN50" s="602"/>
      <c r="AO50" s="590"/>
      <c r="AP50" s="601" t="s">
        <v>788</v>
      </c>
      <c r="AQ50" s="590"/>
      <c r="AR50" s="603"/>
      <c r="AS50" s="590"/>
      <c r="AT50" s="604"/>
      <c r="AU50" s="604"/>
      <c r="AV50" s="587">
        <f>IF(AT50="","",S50-AT50-AU50)</f>
      </c>
      <c r="AW50" s="588">
        <f>IFERROR(IF(tbl_DCFC[[#This Row], [F Montant HT]]="","",tbl_DCFC[[#This Row], [Marge]]/tbl_DCFC[[#This Row], [F Montant HT]]),"")</f>
      </c>
      <c r="AX50" s="8"/>
      <c r="AY50" s="3"/>
      <c r="AZ50" s="3"/>
      <c r="BA50" s="8"/>
    </row>
    <row x14ac:dyDescent="0.25" r="51" customHeight="1" ht="15">
      <c r="A51" s="568"/>
      <c r="B51" s="569">
        <f>IFERROR(INDEX(Tabelle2[BU],MATCH(tbl_DCFC[[#This Row], [Categorie]],CAT,0)),"")</f>
      </c>
      <c r="C51" s="570"/>
      <c r="D51" s="571">
        <v>25569.04218216435</v>
      </c>
      <c r="E51" s="589">
        <v>4697</v>
      </c>
      <c r="F51" s="570" t="s">
        <v>641</v>
      </c>
      <c r="G51" s="570" t="s">
        <v>789</v>
      </c>
      <c r="H51" s="570"/>
      <c r="I51" s="572"/>
      <c r="J51" s="570" t="s">
        <v>281</v>
      </c>
      <c r="K51" s="570" t="s">
        <v>548</v>
      </c>
      <c r="L51" s="570" t="s">
        <v>774</v>
      </c>
      <c r="M51" s="590"/>
      <c r="N51" s="63">
        <f>IF(Q51&lt;&gt;"","S"&amp;TEXT(WEEKNUM(Q51,21),"00"),"")</f>
      </c>
      <c r="O51" s="63">
        <f>IF(Data!$Q45="","",YEAR(Data!$Q45))</f>
      </c>
      <c r="P51" s="63">
        <f>IF(Data!$Q45="","",MONTH(Data!$Q45))</f>
      </c>
      <c r="Q51" s="42"/>
      <c r="R51" s="629"/>
      <c r="S51" s="65"/>
      <c r="T51" s="45"/>
      <c r="U51" s="630"/>
      <c r="V51" s="590"/>
      <c r="W51" s="42"/>
      <c r="X51" s="63">
        <f>IF(AC51&lt;&gt;"","S"&amp;TEXT(WEEKNUM(AC51,21),"00"),"")</f>
      </c>
      <c r="Y51" s="63">
        <f>IF(Data!$AC45="","",YEAR(Data!$AC45))</f>
      </c>
      <c r="Z51" s="63">
        <f>IF(Data!$AC45="","",MONTH(Data!$AC45))</f>
      </c>
      <c r="AA51" s="42"/>
      <c r="AB51" s="631"/>
      <c r="AC51" s="42"/>
      <c r="AD51" s="65"/>
      <c r="AE51" s="42"/>
      <c r="AF51" s="573"/>
      <c r="AG51" s="3"/>
      <c r="AH51" s="590"/>
      <c r="AI51" s="600">
        <v>20</v>
      </c>
      <c r="AJ51" s="601" t="s">
        <v>790</v>
      </c>
      <c r="AK51" s="590"/>
      <c r="AL51" s="3" t="s">
        <v>791</v>
      </c>
      <c r="AM51" s="590"/>
      <c r="AN51" s="602"/>
      <c r="AO51" s="590"/>
      <c r="AP51" s="601" t="s">
        <v>792</v>
      </c>
      <c r="AQ51" s="590"/>
      <c r="AR51" s="603"/>
      <c r="AS51" s="590"/>
      <c r="AT51" s="604"/>
      <c r="AU51" s="604"/>
      <c r="AV51" s="587">
        <f>IF(AT51="","",S51-AT51-AU51)</f>
      </c>
      <c r="AW51" s="588">
        <f>IFERROR(IF(tbl_DCFC[[#This Row], [F Montant HT]]="","",tbl_DCFC[[#This Row], [Marge]]/tbl_DCFC[[#This Row], [F Montant HT]]),"")</f>
      </c>
      <c r="AX51" s="8"/>
      <c r="AY51" s="3"/>
      <c r="AZ51" s="3"/>
      <c r="BA51" s="8"/>
    </row>
    <row x14ac:dyDescent="0.25" r="52" customHeight="1" ht="15">
      <c r="A52" s="568"/>
      <c r="B52" s="569">
        <f>IFERROR(INDEX(Tabelle2[BU],MATCH(tbl_DCFC[[#This Row], [Categorie]],CAT,0)),"")</f>
      </c>
      <c r="C52" s="570"/>
      <c r="D52" s="571">
        <v>25569.042182222223</v>
      </c>
      <c r="E52" s="589">
        <v>4698</v>
      </c>
      <c r="F52" s="570" t="s">
        <v>641</v>
      </c>
      <c r="G52" s="570" t="s">
        <v>760</v>
      </c>
      <c r="H52" s="570"/>
      <c r="I52" s="572">
        <v>660</v>
      </c>
      <c r="J52" s="570" t="s">
        <v>281</v>
      </c>
      <c r="K52" s="570" t="s">
        <v>548</v>
      </c>
      <c r="L52" s="570" t="s">
        <v>650</v>
      </c>
      <c r="M52" s="590"/>
      <c r="N52" s="131"/>
      <c r="O52" s="62">
        <f>IF(Data!$Q46="","",YEAR(Data!$Q46))</f>
      </c>
      <c r="P52" s="62">
        <f>IF(Data!$Q46="","",MONTH(Data!$Q46))</f>
      </c>
      <c r="Q52" s="134"/>
      <c r="R52" s="632"/>
      <c r="S52" s="137"/>
      <c r="T52" s="633"/>
      <c r="U52" s="634"/>
      <c r="V52" s="590"/>
      <c r="W52" s="42"/>
      <c r="X52" s="63">
        <f>IF(AC52&lt;&gt;"","S"&amp;TEXT(WEEKNUM(AC52,21),"00"),"")</f>
      </c>
      <c r="Y52" s="63">
        <f>IF(Data!$AC46="","",YEAR(Data!$AC46))</f>
      </c>
      <c r="Z52" s="63">
        <f>IF(Data!$AC46="","",MONTH(Data!$AC46))</f>
      </c>
      <c r="AA52" s="42"/>
      <c r="AB52" s="631"/>
      <c r="AC52" s="42"/>
      <c r="AD52" s="65"/>
      <c r="AE52" s="42"/>
      <c r="AF52" s="573"/>
      <c r="AG52" s="3"/>
      <c r="AH52" s="590"/>
      <c r="AI52" s="609">
        <v>1</v>
      </c>
      <c r="AJ52" s="610" t="s">
        <v>793</v>
      </c>
      <c r="AK52" s="590"/>
      <c r="AL52" s="3" t="s">
        <v>794</v>
      </c>
      <c r="AM52" s="590"/>
      <c r="AN52" s="602"/>
      <c r="AO52" s="590"/>
      <c r="AP52" s="610" t="s">
        <v>795</v>
      </c>
      <c r="AQ52" s="590"/>
      <c r="AR52" s="611"/>
      <c r="AS52" s="590"/>
      <c r="AT52" s="612"/>
      <c r="AU52" s="612"/>
      <c r="AV52" s="587">
        <f>IF(AT52="","",S52-AT52-AU52)</f>
      </c>
      <c r="AW52" s="588">
        <f>IFERROR(IF(tbl_DCFC[[#This Row], [F Montant HT]]="","",tbl_DCFC[[#This Row], [Marge]]/tbl_DCFC[[#This Row], [F Montant HT]]),"")</f>
      </c>
      <c r="AX52" s="8"/>
      <c r="AY52" s="3"/>
      <c r="AZ52" s="3"/>
      <c r="BA52" s="8"/>
    </row>
    <row x14ac:dyDescent="0.25" r="53" customHeight="1" ht="15">
      <c r="A53" s="614">
        <v>25569.04218263889</v>
      </c>
      <c r="B53" s="569">
        <f>IFERROR(INDEX(Tabelle2[BU],MATCH(tbl_DCFC[[#This Row], [Categorie]],CAT,0)),"")</f>
      </c>
      <c r="C53" s="615">
        <f>IF(D53&lt;&gt;"","S"&amp;TEXT(WEEKNUM(D53,21),"00"),"")</f>
      </c>
      <c r="D53" s="614">
        <v>25569.04218263889</v>
      </c>
      <c r="E53" s="599">
        <v>4698</v>
      </c>
      <c r="F53" s="602" t="s">
        <v>679</v>
      </c>
      <c r="G53" s="602" t="s">
        <v>760</v>
      </c>
      <c r="H53" s="602"/>
      <c r="I53" s="599">
        <v>3773</v>
      </c>
      <c r="J53" s="602" t="s">
        <v>281</v>
      </c>
      <c r="K53" s="602" t="s">
        <v>548</v>
      </c>
      <c r="L53" s="616" t="s">
        <v>646</v>
      </c>
      <c r="M53" s="590"/>
      <c r="N53" s="69">
        <f>IF(Q53&lt;&gt;"","S"&amp;TEXT(WEEKNUM(Q53,21),"00"),"")</f>
      </c>
      <c r="O53" s="69">
        <f>IF(Data!$Q61="","",YEAR(Data!$Q61))</f>
      </c>
      <c r="P53" s="69">
        <f>IF(Data!$Q61="","",MONTH(Data!$Q61))</f>
      </c>
      <c r="Q53" s="43">
        <v>25569.042182719906</v>
      </c>
      <c r="R53" s="3" t="s">
        <v>796</v>
      </c>
      <c r="S53" s="9">
        <v>3773</v>
      </c>
      <c r="T53" s="3"/>
      <c r="U53" s="3"/>
      <c r="V53" s="590"/>
      <c r="W53" s="31"/>
      <c r="X53" s="69">
        <f>IF(AC53&lt;&gt;"","S"&amp;TEXT(WEEKNUM(AC53,21),"00"),"")</f>
      </c>
      <c r="Y53" s="69">
        <f>IF(Data!$AC61="","",YEAR(Data!$AC61))</f>
      </c>
      <c r="Z53" s="69">
        <f>IF(Data!$AC61="","",MONTH(Data!$AC61))</f>
      </c>
      <c r="AA53" s="43">
        <v>25569.042183287038</v>
      </c>
      <c r="AB53" s="9">
        <v>5214</v>
      </c>
      <c r="AC53" s="43">
        <v>25569.042183310186</v>
      </c>
      <c r="AD53" s="9">
        <v>3773</v>
      </c>
      <c r="AE53" s="43">
        <v>25569.042183148147</v>
      </c>
      <c r="AF53" s="573"/>
      <c r="AG53" s="3"/>
      <c r="AH53" s="590"/>
      <c r="AI53" s="609">
        <v>1</v>
      </c>
      <c r="AJ53" s="610" t="s">
        <v>797</v>
      </c>
      <c r="AK53" s="590"/>
      <c r="AL53" s="3" t="s">
        <v>798</v>
      </c>
      <c r="AM53" s="590"/>
      <c r="AN53" s="602"/>
      <c r="AO53" s="590"/>
      <c r="AP53" s="610" t="s">
        <v>795</v>
      </c>
      <c r="AQ53" s="590"/>
      <c r="AR53" s="611"/>
      <c r="AS53" s="590"/>
      <c r="AT53" s="612">
        <v>819</v>
      </c>
      <c r="AU53" s="612">
        <v>312.5</v>
      </c>
      <c r="AV53" s="587">
        <f>IF(AT53="","",S53-AT53-AU53)</f>
      </c>
      <c r="AW53" s="588">
        <f>IFERROR(IF(tbl_DCFC[[#This Row], [F Montant HT]]="","",tbl_DCFC[[#This Row], [Marge]]/tbl_DCFC[[#This Row], [F Montant HT]]),"")</f>
      </c>
      <c r="AX53" s="8"/>
      <c r="AY53" s="3"/>
      <c r="AZ53" s="3"/>
      <c r="BA53" s="8"/>
    </row>
    <row x14ac:dyDescent="0.25" r="54" customHeight="1" ht="15">
      <c r="A54" s="568"/>
      <c r="B54" s="569">
        <f>IFERROR(INDEX(Tabelle2[BU],MATCH(tbl_DCFC[[#This Row], [Categorie]],CAT,0)),"")</f>
      </c>
      <c r="C54" s="570"/>
      <c r="D54" s="571">
        <v>25569.042182233796</v>
      </c>
      <c r="E54" s="589">
        <v>4699</v>
      </c>
      <c r="F54" s="570" t="s">
        <v>641</v>
      </c>
      <c r="G54" s="570" t="s">
        <v>799</v>
      </c>
      <c r="H54" s="570"/>
      <c r="I54" s="572">
        <v>4976.5</v>
      </c>
      <c r="J54" s="570" t="s">
        <v>281</v>
      </c>
      <c r="K54" s="570" t="s">
        <v>548</v>
      </c>
      <c r="L54" s="570" t="s">
        <v>657</v>
      </c>
      <c r="M54" s="590"/>
      <c r="N54" s="63">
        <f>IF(Q54&lt;&gt;"","S"&amp;TEXT(WEEKNUM(Q54,21),"00"),"")</f>
      </c>
      <c r="O54" s="63">
        <f>IF(Data!$Q47="","",YEAR(Data!$Q47))</f>
      </c>
      <c r="P54" s="63">
        <f>IF(Data!$Q47="","",MONTH(Data!$Q47))</f>
      </c>
      <c r="Q54" s="42"/>
      <c r="R54" s="629"/>
      <c r="S54" s="65"/>
      <c r="T54" s="45"/>
      <c r="U54" s="630"/>
      <c r="V54" s="590"/>
      <c r="W54" s="42"/>
      <c r="X54" s="63">
        <f>IF(AC54&lt;&gt;"","S"&amp;TEXT(WEEKNUM(AC54,21),"00"),"")</f>
      </c>
      <c r="Y54" s="63">
        <f>IF(Data!$AC47="","",YEAR(Data!$AC47))</f>
      </c>
      <c r="Z54" s="63">
        <f>IF(Data!$AC47="","",MONTH(Data!$AC47))</f>
      </c>
      <c r="AA54" s="42"/>
      <c r="AB54" s="631"/>
      <c r="AC54" s="42"/>
      <c r="AD54" s="65"/>
      <c r="AE54" s="42"/>
      <c r="AF54" s="573"/>
      <c r="AG54" s="3" t="s">
        <v>800</v>
      </c>
      <c r="AH54" s="590"/>
      <c r="AI54" s="600">
        <v>1</v>
      </c>
      <c r="AJ54" s="601" t="s">
        <v>801</v>
      </c>
      <c r="AK54" s="590"/>
      <c r="AL54" s="3"/>
      <c r="AM54" s="590"/>
      <c r="AN54" s="602"/>
      <c r="AO54" s="590"/>
      <c r="AP54" s="601" t="s">
        <v>802</v>
      </c>
      <c r="AQ54" s="590"/>
      <c r="AR54" s="603"/>
      <c r="AS54" s="590"/>
      <c r="AT54" s="604"/>
      <c r="AU54" s="604"/>
      <c r="AV54" s="587">
        <f>IF(AT54="","",S54-AT54-AU54)</f>
      </c>
      <c r="AW54" s="588">
        <f>IFERROR(IF(tbl_DCFC[[#This Row], [F Montant HT]]="","",tbl_DCFC[[#This Row], [Marge]]/tbl_DCFC[[#This Row], [F Montant HT]]),"")</f>
      </c>
      <c r="AX54" s="8"/>
      <c r="AY54" s="3"/>
      <c r="AZ54" s="3"/>
      <c r="BA54" s="8"/>
    </row>
    <row x14ac:dyDescent="0.25" r="55" customHeight="1" ht="15">
      <c r="A55" s="568"/>
      <c r="B55" s="569">
        <f>IFERROR(INDEX(Tabelle2[BU],MATCH(tbl_DCFC[[#This Row], [Categorie]],CAT,0)),"")</f>
      </c>
      <c r="C55" s="570"/>
      <c r="D55" s="571">
        <v>25569.042182233796</v>
      </c>
      <c r="E55" s="589">
        <v>4700</v>
      </c>
      <c r="F55" s="570" t="s">
        <v>679</v>
      </c>
      <c r="G55" s="570" t="s">
        <v>645</v>
      </c>
      <c r="H55" s="570" t="s">
        <v>803</v>
      </c>
      <c r="I55" s="572">
        <v>20320</v>
      </c>
      <c r="J55" s="570" t="s">
        <v>281</v>
      </c>
      <c r="K55" s="570" t="s">
        <v>548</v>
      </c>
      <c r="L55" s="570" t="s">
        <v>646</v>
      </c>
      <c r="M55" s="590"/>
      <c r="N55" s="63">
        <f>IF(Q55&lt;&gt;"","S"&amp;TEXT(WEEKNUM(Q55,21),"00"),"")</f>
      </c>
      <c r="O55" s="63">
        <f>IF(Data!$Q48="","",YEAR(Data!$Q48))</f>
      </c>
      <c r="P55" s="63">
        <f>IF(Data!$Q48="","",MONTH(Data!$Q48))</f>
      </c>
      <c r="Q55" s="635">
        <v>25569.042182951387</v>
      </c>
      <c r="R55" s="629" t="s">
        <v>804</v>
      </c>
      <c r="S55" s="65">
        <v>20320</v>
      </c>
      <c r="T55" s="45"/>
      <c r="U55" s="630"/>
      <c r="V55" s="590"/>
      <c r="W55" s="42"/>
      <c r="X55" s="63">
        <f>IF(AC55&lt;&gt;"","S"&amp;TEXT(WEEKNUM(AC55,21),"00"),"")</f>
      </c>
      <c r="Y55" s="63">
        <f>IF(Data!$AC48="","",YEAR(Data!$AC48))</f>
      </c>
      <c r="Z55" s="63">
        <f>IF(Data!$AC48="","",MONTH(Data!$AC48))</f>
      </c>
      <c r="AA55" s="635">
        <v>25569.04218346065</v>
      </c>
      <c r="AB55" s="636">
        <v>5227</v>
      </c>
      <c r="AC55" s="635">
        <v>25569.04218346065</v>
      </c>
      <c r="AD55" s="65">
        <v>20320</v>
      </c>
      <c r="AE55" s="635">
        <v>25569.042183391204</v>
      </c>
      <c r="AF55" s="573"/>
      <c r="AG55" s="3"/>
      <c r="AH55" s="590"/>
      <c r="AI55" s="609">
        <v>1</v>
      </c>
      <c r="AJ55" s="610" t="s">
        <v>805</v>
      </c>
      <c r="AK55" s="590"/>
      <c r="AL55" s="3"/>
      <c r="AM55" s="590"/>
      <c r="AN55" s="602"/>
      <c r="AO55" s="590"/>
      <c r="AP55" s="610" t="s">
        <v>806</v>
      </c>
      <c r="AQ55" s="590"/>
      <c r="AR55" s="611"/>
      <c r="AS55" s="590"/>
      <c r="AT55" s="612"/>
      <c r="AU55" s="612"/>
      <c r="AV55" s="587">
        <f>IF(AT55="","",S55-AT55-AU55)</f>
      </c>
      <c r="AW55" s="588">
        <f>IFERROR(IF(tbl_DCFC[[#This Row], [F Montant HT]]="","",tbl_DCFC[[#This Row], [Marge]]/tbl_DCFC[[#This Row], [F Montant HT]]),"")</f>
      </c>
      <c r="AX55" s="8"/>
      <c r="AY55" s="3"/>
      <c r="AZ55" s="3"/>
      <c r="BA55" s="8"/>
    </row>
    <row x14ac:dyDescent="0.25" r="56" customHeight="1" ht="15">
      <c r="A56" s="614">
        <v>25569.042182546294</v>
      </c>
      <c r="B56" s="569">
        <f>IFERROR(INDEX(Tabelle2[BU],MATCH(tbl_DCFC[[#This Row], [Categorie]],CAT,0)),"")</f>
      </c>
      <c r="C56" s="615">
        <f>IF(D56&lt;&gt;"","S"&amp;TEXT(WEEKNUM(D56,21),"00"),"")</f>
      </c>
      <c r="D56" s="614">
        <v>25569.042182546294</v>
      </c>
      <c r="E56" s="599">
        <v>4700</v>
      </c>
      <c r="F56" s="602" t="s">
        <v>679</v>
      </c>
      <c r="G56" s="602" t="s">
        <v>645</v>
      </c>
      <c r="H56" s="602" t="s">
        <v>803</v>
      </c>
      <c r="I56" s="599">
        <v>20320</v>
      </c>
      <c r="J56" s="602" t="s">
        <v>281</v>
      </c>
      <c r="K56" s="602" t="s">
        <v>548</v>
      </c>
      <c r="L56" s="616" t="s">
        <v>646</v>
      </c>
      <c r="M56" s="590"/>
      <c r="N56" s="69">
        <f>IF(Q56&lt;&gt;"","S"&amp;TEXT(WEEKNUM(Q56,21),"00"),"")</f>
      </c>
      <c r="O56" s="69">
        <f>IF(Data!$Q83="","",YEAR(Data!$Q83))</f>
      </c>
      <c r="P56" s="69">
        <f>IF(Data!$Q83="","",MONTH(Data!$Q83))</f>
      </c>
      <c r="Q56" s="43">
        <v>25569.042182951387</v>
      </c>
      <c r="R56" s="3" t="s">
        <v>804</v>
      </c>
      <c r="S56" s="9">
        <v>20320</v>
      </c>
      <c r="T56" s="3"/>
      <c r="U56" s="3"/>
      <c r="V56" s="590"/>
      <c r="W56" s="31"/>
      <c r="X56" s="69">
        <f>IF(AC56&lt;&gt;"","S"&amp;TEXT(WEEKNUM(AC56,21),"00"),"")</f>
      </c>
      <c r="Y56" s="69">
        <f>IF(Data!$AC83="","",YEAR(Data!$AC83))</f>
      </c>
      <c r="Z56" s="69">
        <f>IF(Data!$AC83="","",MONTH(Data!$AC83))</f>
      </c>
      <c r="AA56" s="43">
        <v>25569.042183622685</v>
      </c>
      <c r="AB56" s="9">
        <v>5234</v>
      </c>
      <c r="AC56" s="43">
        <v>25569.042183622685</v>
      </c>
      <c r="AD56" s="9">
        <v>20320</v>
      </c>
      <c r="AE56" s="43">
        <v>25569.04218355324</v>
      </c>
      <c r="AF56" s="573"/>
      <c r="AG56" s="3"/>
      <c r="AH56" s="590"/>
      <c r="AI56" s="609">
        <v>1</v>
      </c>
      <c r="AJ56" s="610" t="s">
        <v>805</v>
      </c>
      <c r="AK56" s="590"/>
      <c r="AL56" s="3"/>
      <c r="AM56" s="590"/>
      <c r="AN56" s="602"/>
      <c r="AO56" s="590"/>
      <c r="AP56" s="610" t="s">
        <v>806</v>
      </c>
      <c r="AQ56" s="590"/>
      <c r="AR56" s="611"/>
      <c r="AS56" s="590"/>
      <c r="AT56" s="612"/>
      <c r="AU56" s="612"/>
      <c r="AV56" s="587"/>
      <c r="AW56" s="588"/>
      <c r="AX56" s="8"/>
      <c r="AY56" s="3"/>
      <c r="AZ56" s="3"/>
      <c r="BA56" s="8"/>
    </row>
    <row x14ac:dyDescent="0.25" r="57" customHeight="1" ht="15">
      <c r="A57" s="614">
        <v>25569.042182546294</v>
      </c>
      <c r="B57" s="569">
        <f>IFERROR(INDEX(Tabelle2[BU],MATCH(tbl_DCFC[[#This Row], [Categorie]],CAT,0)),"")</f>
      </c>
      <c r="C57" s="615">
        <f>IF(D57&lt;&gt;"","S"&amp;TEXT(WEEKNUM(D57,21),"00"),"")</f>
      </c>
      <c r="D57" s="614">
        <v>25569.042182546294</v>
      </c>
      <c r="E57" s="599">
        <v>4700</v>
      </c>
      <c r="F57" s="602" t="s">
        <v>679</v>
      </c>
      <c r="G57" s="602" t="s">
        <v>645</v>
      </c>
      <c r="H57" s="602" t="s">
        <v>803</v>
      </c>
      <c r="I57" s="599">
        <v>20320</v>
      </c>
      <c r="J57" s="602" t="s">
        <v>281</v>
      </c>
      <c r="K57" s="602" t="s">
        <v>548</v>
      </c>
      <c r="L57" s="616" t="s">
        <v>646</v>
      </c>
      <c r="M57" s="590"/>
      <c r="N57" s="69">
        <f>IF(Q57&lt;&gt;"","S"&amp;TEXT(WEEKNUM(Q57,21),"00"),"")</f>
      </c>
      <c r="O57" s="69">
        <f>IF(Data!$Q84="","",YEAR(Data!$Q84))</f>
      </c>
      <c r="P57" s="69">
        <f>IF(Data!$Q84="","",MONTH(Data!$Q84))</f>
      </c>
      <c r="Q57" s="43">
        <v>25569.042182951387</v>
      </c>
      <c r="R57" s="3" t="s">
        <v>804</v>
      </c>
      <c r="S57" s="9">
        <v>20320</v>
      </c>
      <c r="T57" s="3"/>
      <c r="U57" s="3"/>
      <c r="V57" s="590"/>
      <c r="W57" s="31"/>
      <c r="X57" s="69">
        <f>IF(AC57&lt;&gt;"","S"&amp;TEXT(WEEKNUM(AC57,21),"00"),"")</f>
      </c>
      <c r="Y57" s="69">
        <f>IF(Data!$AC84="","",YEAR(Data!$AC84))</f>
      </c>
      <c r="Z57" s="69">
        <f>IF(Data!$AC84="","",MONTH(Data!$AC84))</f>
      </c>
      <c r="AA57" s="31"/>
      <c r="AB57" s="8"/>
      <c r="AC57" s="637"/>
      <c r="AD57" s="9"/>
      <c r="AE57" s="43">
        <v>25569.04218371528</v>
      </c>
      <c r="AF57" s="573"/>
      <c r="AG57" s="3"/>
      <c r="AH57" s="590"/>
      <c r="AI57" s="609">
        <v>1</v>
      </c>
      <c r="AJ57" s="610" t="s">
        <v>805</v>
      </c>
      <c r="AK57" s="590"/>
      <c r="AL57" s="3"/>
      <c r="AM57" s="590"/>
      <c r="AN57" s="602"/>
      <c r="AO57" s="590"/>
      <c r="AP57" s="610" t="s">
        <v>806</v>
      </c>
      <c r="AQ57" s="590"/>
      <c r="AR57" s="611"/>
      <c r="AS57" s="590"/>
      <c r="AT57" s="612"/>
      <c r="AU57" s="612"/>
      <c r="AV57" s="587"/>
      <c r="AW57" s="588"/>
      <c r="AX57" s="8"/>
      <c r="AY57" s="3"/>
      <c r="AZ57" s="3"/>
      <c r="BA57" s="8"/>
    </row>
    <row x14ac:dyDescent="0.25" r="58" customHeight="1" ht="15">
      <c r="A58" s="568"/>
      <c r="B58" s="569">
        <f>IFERROR(INDEX(Tabelle2[BU],MATCH(tbl_DCFC[[#This Row], [Categorie]],CAT,0)),"")</f>
      </c>
      <c r="C58" s="570"/>
      <c r="D58" s="571">
        <v>25569.04218224537</v>
      </c>
      <c r="E58" s="589">
        <v>4701</v>
      </c>
      <c r="F58" s="570" t="s">
        <v>641</v>
      </c>
      <c r="G58" s="570" t="s">
        <v>807</v>
      </c>
      <c r="H58" s="570"/>
      <c r="I58" s="572">
        <v>180</v>
      </c>
      <c r="J58" s="570" t="s">
        <v>280</v>
      </c>
      <c r="K58" s="570" t="s">
        <v>548</v>
      </c>
      <c r="L58" s="570" t="s">
        <v>774</v>
      </c>
      <c r="M58" s="590"/>
      <c r="N58" s="63">
        <f>IF(Q58&lt;&gt;"","S"&amp;TEXT(WEEKNUM(Q58,21),"00"),"")</f>
      </c>
      <c r="O58" s="63">
        <f>IF(Data!$Q49="","",YEAR(Data!$Q49))</f>
      </c>
      <c r="P58" s="63">
        <f>IF(Data!$Q49="","",MONTH(Data!$Q49))</f>
      </c>
      <c r="Q58" s="42"/>
      <c r="R58" s="629"/>
      <c r="S58" s="65"/>
      <c r="T58" s="45"/>
      <c r="U58" s="630"/>
      <c r="V58" s="590"/>
      <c r="W58" s="42"/>
      <c r="X58" s="63">
        <f>IF(AC58&lt;&gt;"","S"&amp;TEXT(WEEKNUM(AC58,21),"00"),"")</f>
      </c>
      <c r="Y58" s="63">
        <f>IF(Data!$AC49="","",YEAR(Data!$AC49))</f>
      </c>
      <c r="Z58" s="63">
        <f>IF(Data!$AC49="","",MONTH(Data!$AC49))</f>
      </c>
      <c r="AA58" s="42"/>
      <c r="AB58" s="631"/>
      <c r="AC58" s="42"/>
      <c r="AD58" s="65"/>
      <c r="AE58" s="42"/>
      <c r="AF58" s="573"/>
      <c r="AG58" s="3"/>
      <c r="AH58" s="590"/>
      <c r="AI58" s="609">
        <v>1</v>
      </c>
      <c r="AJ58" s="610" t="s">
        <v>808</v>
      </c>
      <c r="AK58" s="590"/>
      <c r="AL58" s="3" t="s">
        <v>715</v>
      </c>
      <c r="AM58" s="590"/>
      <c r="AN58" s="602"/>
      <c r="AO58" s="590"/>
      <c r="AP58" s="610" t="s">
        <v>809</v>
      </c>
      <c r="AQ58" s="590"/>
      <c r="AR58" s="611"/>
      <c r="AS58" s="590"/>
      <c r="AT58" s="612"/>
      <c r="AU58" s="612"/>
      <c r="AV58" s="587">
        <f>IF(AT58="","",S58-AT58-AU58)</f>
      </c>
      <c r="AW58" s="588">
        <f>IFERROR(IF(tbl_DCFC[[#This Row], [F Montant HT]]="","",tbl_DCFC[[#This Row], [Marge]]/tbl_DCFC[[#This Row], [F Montant HT]]),"")</f>
      </c>
      <c r="AX58" s="8"/>
      <c r="AY58" s="3"/>
      <c r="AZ58" s="3"/>
      <c r="BA58" s="8"/>
    </row>
    <row x14ac:dyDescent="0.25" r="59" customHeight="1" ht="15">
      <c r="A59" s="568"/>
      <c r="B59" s="569">
        <f>IFERROR(INDEX(Tabelle2[BU],MATCH(tbl_DCFC[[#This Row], [Categorie]],CAT,0)),"")</f>
      </c>
      <c r="C59" s="570"/>
      <c r="D59" s="571">
        <v>25569.042182256944</v>
      </c>
      <c r="E59" s="589">
        <v>4702</v>
      </c>
      <c r="F59" s="570" t="s">
        <v>641</v>
      </c>
      <c r="G59" s="570" t="s">
        <v>645</v>
      </c>
      <c r="H59" s="570" t="s">
        <v>799</v>
      </c>
      <c r="I59" s="572">
        <v>856.8</v>
      </c>
      <c r="J59" s="570" t="s">
        <v>281</v>
      </c>
      <c r="K59" s="570" t="s">
        <v>548</v>
      </c>
      <c r="L59" s="570" t="s">
        <v>650</v>
      </c>
      <c r="M59" s="590"/>
      <c r="N59" s="63">
        <f>IF(Q59&lt;&gt;"","S"&amp;TEXT(WEEKNUM(Q59,21),"00"),"")</f>
      </c>
      <c r="O59" s="63">
        <f>IF(Data!$Q50="","",YEAR(Data!$Q50))</f>
      </c>
      <c r="P59" s="63">
        <f>IF(Data!$Q50="","",MONTH(Data!$Q50))</f>
      </c>
      <c r="Q59" s="42"/>
      <c r="R59" s="629"/>
      <c r="S59" s="65"/>
      <c r="T59" s="45"/>
      <c r="U59" s="630"/>
      <c r="V59" s="590"/>
      <c r="W59" s="42"/>
      <c r="X59" s="63">
        <f>IF(AC59&lt;&gt;"","S"&amp;TEXT(WEEKNUM(AC59,21),"00"),"")</f>
      </c>
      <c r="Y59" s="63">
        <f>IF(Data!$AC50="","",YEAR(Data!$AC50))</f>
      </c>
      <c r="Z59" s="63">
        <f>IF(Data!$AC50="","",MONTH(Data!$AC50))</f>
      </c>
      <c r="AA59" s="42"/>
      <c r="AB59" s="631"/>
      <c r="AC59" s="42"/>
      <c r="AD59" s="65"/>
      <c r="AE59" s="635">
        <v>25569.042183229165</v>
      </c>
      <c r="AF59" s="573"/>
      <c r="AG59" s="3"/>
      <c r="AH59" s="590"/>
      <c r="AI59" s="600">
        <v>1</v>
      </c>
      <c r="AJ59" s="601" t="s">
        <v>810</v>
      </c>
      <c r="AK59" s="590"/>
      <c r="AL59" s="3" t="s">
        <v>811</v>
      </c>
      <c r="AM59" s="590"/>
      <c r="AN59" s="602"/>
      <c r="AO59" s="590"/>
      <c r="AP59" s="601" t="s">
        <v>812</v>
      </c>
      <c r="AQ59" s="590"/>
      <c r="AR59" s="603"/>
      <c r="AS59" s="590"/>
      <c r="AT59" s="604"/>
      <c r="AU59" s="604"/>
      <c r="AV59" s="587">
        <f>IF(AT59="","",S59-AT59-AU59)</f>
      </c>
      <c r="AW59" s="588">
        <f>IFERROR(IF(tbl_DCFC[[#This Row], [F Montant HT]]="","",tbl_DCFC[[#This Row], [Marge]]/tbl_DCFC[[#This Row], [F Montant HT]]),"")</f>
      </c>
      <c r="AX59" s="8"/>
      <c r="AY59" s="3"/>
      <c r="AZ59" s="3"/>
      <c r="BA59" s="8"/>
    </row>
    <row x14ac:dyDescent="0.25" r="60" customHeight="1" ht="15">
      <c r="A60" s="614">
        <v>25569.042182453704</v>
      </c>
      <c r="B60" s="569">
        <f>IFERROR(INDEX(Tabelle2[BU],MATCH(tbl_DCFC[[#This Row], [Categorie]],CAT,0)),"")</f>
      </c>
      <c r="C60" s="615">
        <f>IF(D60&lt;&gt;"","S"&amp;TEXT(WEEKNUM(D60,21),"00"),"")</f>
      </c>
      <c r="D60" s="614">
        <v>25569.042182453704</v>
      </c>
      <c r="E60" s="599">
        <v>4704</v>
      </c>
      <c r="F60" s="602" t="s">
        <v>641</v>
      </c>
      <c r="G60" s="602" t="s">
        <v>671</v>
      </c>
      <c r="H60" s="602"/>
      <c r="I60" s="599">
        <v>3238</v>
      </c>
      <c r="J60" s="602" t="s">
        <v>280</v>
      </c>
      <c r="K60" s="602" t="s">
        <v>548</v>
      </c>
      <c r="L60" s="616" t="s">
        <v>646</v>
      </c>
      <c r="M60" s="590"/>
      <c r="N60" s="69">
        <f>IF(Q60&lt;&gt;"","S"&amp;TEXT(WEEKNUM(Q60,21),"00"),"")</f>
      </c>
      <c r="O60" s="69">
        <f>IF(Data!$Q51="","",YEAR(Data!$Q51))</f>
      </c>
      <c r="P60" s="69">
        <f>IF(Data!$Q51="","",MONTH(Data!$Q51))</f>
      </c>
      <c r="Q60" s="43">
        <v>25569.042182962963</v>
      </c>
      <c r="R60" s="3" t="s">
        <v>813</v>
      </c>
      <c r="S60" s="9">
        <v>3238</v>
      </c>
      <c r="T60" s="3"/>
      <c r="U60" s="3"/>
      <c r="V60" s="590"/>
      <c r="W60" s="31"/>
      <c r="X60" s="69">
        <f>IF(AC60&lt;&gt;"","S"&amp;TEXT(WEEKNUM(AC60,21),"00"),"")</f>
      </c>
      <c r="Y60" s="69">
        <f>IF(Data!$AC51="","",YEAR(Data!$AC51))</f>
      </c>
      <c r="Z60" s="69">
        <f>IF(Data!$AC51="","",MONTH(Data!$AC51))</f>
      </c>
      <c r="AA60" s="31"/>
      <c r="AB60" s="8"/>
      <c r="AC60" s="637"/>
      <c r="AD60" s="9"/>
      <c r="AE60" s="43">
        <v>25569.042183796297</v>
      </c>
      <c r="AF60" s="573"/>
      <c r="AG60" s="3"/>
      <c r="AH60" s="590"/>
      <c r="AI60" s="609">
        <v>1</v>
      </c>
      <c r="AJ60" s="610" t="s">
        <v>814</v>
      </c>
      <c r="AK60" s="590"/>
      <c r="AL60" s="3"/>
      <c r="AM60" s="590"/>
      <c r="AN60" s="602"/>
      <c r="AO60" s="590"/>
      <c r="AP60" s="610" t="s">
        <v>815</v>
      </c>
      <c r="AQ60" s="590"/>
      <c r="AR60" s="611"/>
      <c r="AS60" s="590"/>
      <c r="AT60" s="612"/>
      <c r="AU60" s="612"/>
      <c r="AV60" s="587">
        <f>IF(AT60="","",S60-AT60-AU60)</f>
      </c>
      <c r="AW60" s="588">
        <f>IFERROR(IF(tbl_DCFC[[#This Row], [F Montant HT]]="","",tbl_DCFC[[#This Row], [Marge]]/tbl_DCFC[[#This Row], [F Montant HT]]),"")</f>
      </c>
      <c r="AX60" s="8"/>
      <c r="AY60" s="3"/>
      <c r="AZ60" s="3"/>
      <c r="BA60" s="8"/>
    </row>
    <row x14ac:dyDescent="0.25" r="61" customHeight="1" ht="15">
      <c r="A61" s="614">
        <v>25569.042182476853</v>
      </c>
      <c r="B61" s="569">
        <f>IFERROR(INDEX(Tabelle2[BU],MATCH(tbl_DCFC[[#This Row], [Categorie]],CAT,0)),"")</f>
      </c>
      <c r="C61" s="615">
        <f>IF(D61&lt;&gt;"","S"&amp;TEXT(WEEKNUM(D61,21),"00"),"")</f>
      </c>
      <c r="D61" s="614">
        <v>25569.042182476853</v>
      </c>
      <c r="E61" s="599">
        <v>4705</v>
      </c>
      <c r="F61" s="602" t="s">
        <v>641</v>
      </c>
      <c r="G61" s="602" t="s">
        <v>816</v>
      </c>
      <c r="H61" s="602"/>
      <c r="I61" s="599">
        <v>660</v>
      </c>
      <c r="J61" s="602" t="s">
        <v>280</v>
      </c>
      <c r="K61" s="602" t="s">
        <v>548</v>
      </c>
      <c r="L61" s="616" t="s">
        <v>646</v>
      </c>
      <c r="M61" s="590"/>
      <c r="N61" s="69">
        <f>IF(Q61&lt;&gt;"","S"&amp;TEXT(WEEKNUM(Q61,21),"00"),"")</f>
      </c>
      <c r="O61" s="69">
        <f>IF(Data!$Q52="","",YEAR(Data!$Q52))</f>
      </c>
      <c r="P61" s="69">
        <f>IF(Data!$Q52="","",MONTH(Data!$Q52))</f>
      </c>
      <c r="Q61" s="43">
        <v>25569.04218261574</v>
      </c>
      <c r="R61" s="3" t="s">
        <v>817</v>
      </c>
      <c r="S61" s="9">
        <v>660</v>
      </c>
      <c r="T61" s="3"/>
      <c r="U61" s="3"/>
      <c r="V61" s="590"/>
      <c r="W61" s="31"/>
      <c r="X61" s="69">
        <f>IF(AC61&lt;&gt;"","S"&amp;TEXT(WEEKNUM(AC61,21),"00"),"")</f>
      </c>
      <c r="Y61" s="69">
        <f>IF(Data!$AC52="","",YEAR(Data!$AC52))</f>
      </c>
      <c r="Z61" s="69">
        <f>IF(Data!$AC52="","",MONTH(Data!$AC52))</f>
      </c>
      <c r="AA61" s="43">
        <v>25569.04218298611</v>
      </c>
      <c r="AB61" s="9">
        <v>5204</v>
      </c>
      <c r="AC61" s="43">
        <v>25569.04218298611</v>
      </c>
      <c r="AD61" s="9">
        <v>660</v>
      </c>
      <c r="AE61" s="43">
        <v>25569.04218306713</v>
      </c>
      <c r="AF61" s="573"/>
      <c r="AG61" s="3"/>
      <c r="AH61" s="590"/>
      <c r="AI61" s="609">
        <v>1</v>
      </c>
      <c r="AJ61" s="610" t="s">
        <v>818</v>
      </c>
      <c r="AK61" s="590"/>
      <c r="AL61" s="3"/>
      <c r="AM61" s="590"/>
      <c r="AN61" s="602"/>
      <c r="AO61" s="590"/>
      <c r="AP61" s="610" t="s">
        <v>819</v>
      </c>
      <c r="AQ61" s="590"/>
      <c r="AR61" s="611"/>
      <c r="AS61" s="590"/>
      <c r="AT61" s="612">
        <v>387.03</v>
      </c>
      <c r="AU61" s="612">
        <v>100</v>
      </c>
      <c r="AV61" s="587">
        <f>IF(AT61="","",S61-AT61-AU61)</f>
      </c>
      <c r="AW61" s="588">
        <f>IFERROR(IF(tbl_DCFC[[#This Row], [F Montant HT]]="","",tbl_DCFC[[#This Row], [Marge]]/tbl_DCFC[[#This Row], [F Montant HT]]),"")</f>
      </c>
      <c r="AX61" s="8"/>
      <c r="AY61" s="3"/>
      <c r="AZ61" s="3"/>
      <c r="BA61" s="8"/>
    </row>
    <row x14ac:dyDescent="0.25" r="62" customHeight="1" ht="15">
      <c r="A62" s="614">
        <v>25569.0421825</v>
      </c>
      <c r="B62" s="569">
        <f>IFERROR(INDEX(Tabelle2[BU],MATCH(tbl_DCFC[[#This Row], [Categorie]],CAT,0)),"")</f>
      </c>
      <c r="C62" s="615">
        <f>IF(D62&lt;&gt;"","S"&amp;TEXT(WEEKNUM(D62,21),"00"),"")</f>
      </c>
      <c r="D62" s="614">
        <v>25569.0421825</v>
      </c>
      <c r="E62" s="599">
        <v>4706</v>
      </c>
      <c r="F62" s="602" t="s">
        <v>641</v>
      </c>
      <c r="G62" s="602" t="s">
        <v>645</v>
      </c>
      <c r="H62" s="602"/>
      <c r="I62" s="599">
        <v>1434</v>
      </c>
      <c r="J62" s="602" t="s">
        <v>721</v>
      </c>
      <c r="K62" s="602" t="s">
        <v>548</v>
      </c>
      <c r="L62" s="616" t="s">
        <v>646</v>
      </c>
      <c r="M62" s="590"/>
      <c r="N62" s="69">
        <f>IF(Q62&lt;&gt;"","S"&amp;TEXT(WEEKNUM(Q62,21),"00"),"")</f>
      </c>
      <c r="O62" s="69">
        <f>IF(Data!$Q54="","",YEAR(Data!$Q54))</f>
      </c>
      <c r="P62" s="69">
        <f>IF(Data!$Q54="","",MONTH(Data!$Q54))</f>
      </c>
      <c r="Q62" s="43">
        <v>25569.042182534722</v>
      </c>
      <c r="R62" s="21" t="s">
        <v>820</v>
      </c>
      <c r="S62" s="9">
        <v>1434</v>
      </c>
      <c r="T62" s="3"/>
      <c r="U62" s="3"/>
      <c r="V62" s="590"/>
      <c r="W62" s="31"/>
      <c r="X62" s="69">
        <f>IF(AC62&lt;&gt;"","S"&amp;TEXT(WEEKNUM(AC62,21),"00"),"")</f>
      </c>
      <c r="Y62" s="69">
        <f>IF(Data!$AC54="","",YEAR(Data!$AC54))</f>
      </c>
      <c r="Z62" s="69">
        <f>IF(Data!$AC54="","",MONTH(Data!$AC54))</f>
      </c>
      <c r="AA62" s="43">
        <v>25569.04218255787</v>
      </c>
      <c r="AB62" s="9">
        <v>5190</v>
      </c>
      <c r="AC62" s="43">
        <v>25569.042182650464</v>
      </c>
      <c r="AD62" s="9">
        <v>1434</v>
      </c>
      <c r="AE62" s="43">
        <v>25569.04218258102</v>
      </c>
      <c r="AF62" s="573"/>
      <c r="AG62" s="3"/>
      <c r="AH62" s="590"/>
      <c r="AI62" s="609">
        <v>1</v>
      </c>
      <c r="AJ62" s="610" t="s">
        <v>821</v>
      </c>
      <c r="AK62" s="590"/>
      <c r="AL62" s="3"/>
      <c r="AM62" s="590"/>
      <c r="AN62" s="602"/>
      <c r="AO62" s="590"/>
      <c r="AP62" s="610" t="s">
        <v>822</v>
      </c>
      <c r="AQ62" s="590"/>
      <c r="AR62" s="611"/>
      <c r="AS62" s="590"/>
      <c r="AT62" s="612"/>
      <c r="AU62" s="612"/>
      <c r="AV62" s="587">
        <f>IF(AT62="","",S62-AT62-AU62)</f>
      </c>
      <c r="AW62" s="588">
        <f>IFERROR(IF(tbl_DCFC[[#This Row], [F Montant HT]]="","",tbl_DCFC[[#This Row], [Marge]]/tbl_DCFC[[#This Row], [F Montant HT]]),"")</f>
      </c>
      <c r="AX62" s="8"/>
      <c r="AY62" s="3"/>
      <c r="AZ62" s="3"/>
      <c r="BA62" s="8"/>
    </row>
    <row x14ac:dyDescent="0.25" r="63" customHeight="1" ht="15">
      <c r="A63" s="614">
        <v>25569.0421825</v>
      </c>
      <c r="B63" s="569">
        <f>IFERROR(INDEX(Tabelle2[BU],MATCH(tbl_DCFC[[#This Row], [Categorie]],CAT,0)),"")</f>
      </c>
      <c r="C63" s="615">
        <f>IF(D63&lt;&gt;"","S"&amp;TEXT(WEEKNUM(D63,21),"00"),"")</f>
      </c>
      <c r="D63" s="614">
        <v>25569.0421825</v>
      </c>
      <c r="E63" s="599">
        <v>4707</v>
      </c>
      <c r="F63" s="602" t="s">
        <v>641</v>
      </c>
      <c r="G63" s="602" t="s">
        <v>823</v>
      </c>
      <c r="H63" s="602"/>
      <c r="I63" s="599"/>
      <c r="J63" s="602" t="s">
        <v>280</v>
      </c>
      <c r="K63" s="602" t="s">
        <v>548</v>
      </c>
      <c r="L63" s="616" t="s">
        <v>650</v>
      </c>
      <c r="M63" s="590"/>
      <c r="N63" s="69">
        <f>IF(Q63&lt;&gt;"","S"&amp;TEXT(WEEKNUM(Q63,21),"00"),"")</f>
      </c>
      <c r="O63" s="69">
        <f>IF(Data!$Q55="","",YEAR(Data!$Q55))</f>
      </c>
      <c r="P63" s="69">
        <f>IF(Data!$Q55="","",MONTH(Data!$Q55))</f>
      </c>
      <c r="Q63" s="637"/>
      <c r="R63" s="3"/>
      <c r="S63" s="8"/>
      <c r="T63" s="3"/>
      <c r="U63" s="3"/>
      <c r="V63" s="590"/>
      <c r="W63" s="31"/>
      <c r="X63" s="69">
        <f>IF(AC63&lt;&gt;"","S"&amp;TEXT(WEEKNUM(AC63,21),"00"),"")</f>
      </c>
      <c r="Y63" s="69">
        <f>IF(Data!$AC55="","",YEAR(Data!$AC55))</f>
      </c>
      <c r="Z63" s="69">
        <f>IF(Data!$AC55="","",MONTH(Data!$AC55))</f>
      </c>
      <c r="AA63" s="31"/>
      <c r="AB63" s="8"/>
      <c r="AC63" s="637"/>
      <c r="AD63" s="9"/>
      <c r="AE63" s="31"/>
      <c r="AF63" s="573"/>
      <c r="AG63" s="3"/>
      <c r="AH63" s="590"/>
      <c r="AI63" s="609">
        <v>1</v>
      </c>
      <c r="AJ63" s="610" t="s">
        <v>824</v>
      </c>
      <c r="AK63" s="590"/>
      <c r="AL63" s="3" t="s">
        <v>825</v>
      </c>
      <c r="AM63" s="590"/>
      <c r="AN63" s="602"/>
      <c r="AO63" s="590"/>
      <c r="AP63" s="610" t="s">
        <v>826</v>
      </c>
      <c r="AQ63" s="590"/>
      <c r="AR63" s="611"/>
      <c r="AS63" s="590"/>
      <c r="AT63" s="612"/>
      <c r="AU63" s="612"/>
      <c r="AV63" s="587">
        <f>IF(AT63="","",S63-AT63-AU63)</f>
      </c>
      <c r="AW63" s="588">
        <f>IFERROR(IF(tbl_DCFC[[#This Row], [F Montant HT]]="","",tbl_DCFC[[#This Row], [Marge]]/tbl_DCFC[[#This Row], [F Montant HT]]),"")</f>
      </c>
      <c r="AX63" s="8"/>
      <c r="AY63" s="3"/>
      <c r="AZ63" s="3"/>
      <c r="BA63" s="8"/>
    </row>
    <row x14ac:dyDescent="0.25" r="64" customHeight="1" ht="15">
      <c r="A64" s="614">
        <v>25569.04218261574</v>
      </c>
      <c r="B64" s="569">
        <f>IFERROR(INDEX(Tabelle2[BU],MATCH(tbl_DCFC[[#This Row], [Categorie]],CAT,0)),"")</f>
      </c>
      <c r="C64" s="615">
        <f>IF(D64&lt;&gt;"","S"&amp;TEXT(WEEKNUM(D64,21),"00"),"")</f>
      </c>
      <c r="D64" s="614">
        <v>25569.04218261574</v>
      </c>
      <c r="E64" s="599">
        <v>4708</v>
      </c>
      <c r="F64" s="602" t="s">
        <v>641</v>
      </c>
      <c r="G64" s="602" t="s">
        <v>827</v>
      </c>
      <c r="H64" s="602"/>
      <c r="I64" s="599">
        <v>4303</v>
      </c>
      <c r="J64" s="602" t="s">
        <v>280</v>
      </c>
      <c r="K64" s="602" t="s">
        <v>548</v>
      </c>
      <c r="L64" s="616" t="s">
        <v>646</v>
      </c>
      <c r="M64" s="590"/>
      <c r="N64" s="69">
        <f>IF(Q64&lt;&gt;"","S"&amp;TEXT(WEEKNUM(Q64,21),"00"),"")</f>
      </c>
      <c r="O64" s="69">
        <f>IF(Data!$Q57="","",YEAR(Data!$Q57))</f>
      </c>
      <c r="P64" s="69">
        <f>IF(Data!$Q57="","",MONTH(Data!$Q57))</f>
      </c>
      <c r="Q64" s="43">
        <v>25569.042182719906</v>
      </c>
      <c r="R64" s="3" t="s">
        <v>828</v>
      </c>
      <c r="S64" s="9">
        <v>4303</v>
      </c>
      <c r="T64" s="3"/>
      <c r="U64" s="3"/>
      <c r="V64" s="590"/>
      <c r="W64" s="31"/>
      <c r="X64" s="69">
        <f>IF(AC64&lt;&gt;"","S"&amp;TEXT(WEEKNUM(AC64,21),"00"),"")</f>
      </c>
      <c r="Y64" s="69">
        <f>IF(Data!$AC57="","",YEAR(Data!$AC57))</f>
      </c>
      <c r="Z64" s="69">
        <f>IF(Data!$AC57="","",MONTH(Data!$AC57))</f>
      </c>
      <c r="AA64" s="31"/>
      <c r="AB64" s="8"/>
      <c r="AC64" s="637"/>
      <c r="AD64" s="9"/>
      <c r="AE64" s="43">
        <v>25569.042183958332</v>
      </c>
      <c r="AF64" s="573"/>
      <c r="AG64" s="3"/>
      <c r="AH64" s="590"/>
      <c r="AI64" s="609">
        <v>1</v>
      </c>
      <c r="AJ64" s="610" t="s">
        <v>829</v>
      </c>
      <c r="AK64" s="590"/>
      <c r="AL64" s="3"/>
      <c r="AM64" s="590"/>
      <c r="AN64" s="602"/>
      <c r="AO64" s="590"/>
      <c r="AP64" s="610" t="s">
        <v>830</v>
      </c>
      <c r="AQ64" s="590"/>
      <c r="AR64" s="611"/>
      <c r="AS64" s="590"/>
      <c r="AT64" s="612"/>
      <c r="AU64" s="612"/>
      <c r="AV64" s="587">
        <f>IF(AT64="","",S64-AT64-AU64)</f>
      </c>
      <c r="AW64" s="588">
        <f>IFERROR(IF(tbl_DCFC[[#This Row], [F Montant HT]]="","",tbl_DCFC[[#This Row], [Marge]]/tbl_DCFC[[#This Row], [F Montant HT]]),"")</f>
      </c>
      <c r="AX64" s="8"/>
      <c r="AY64" s="3"/>
      <c r="AZ64" s="3"/>
      <c r="BA64" s="8"/>
    </row>
    <row x14ac:dyDescent="0.25" r="65" customHeight="1" ht="15">
      <c r="A65" s="614">
        <v>25569.042182627316</v>
      </c>
      <c r="B65" s="569">
        <f>IFERROR(INDEX(Tabelle2[BU],MATCH(tbl_DCFC[[#This Row], [Categorie]],CAT,0)),"")</f>
      </c>
      <c r="C65" s="615">
        <f>IF(D65&lt;&gt;"","S"&amp;TEXT(WEEKNUM(D65,21),"00"),"")</f>
      </c>
      <c r="D65" s="614">
        <v>25569.042182627316</v>
      </c>
      <c r="E65" s="599">
        <v>4709</v>
      </c>
      <c r="F65" s="602" t="s">
        <v>641</v>
      </c>
      <c r="G65" s="602" t="s">
        <v>336</v>
      </c>
      <c r="H65" s="602"/>
      <c r="I65" s="599">
        <v>2120</v>
      </c>
      <c r="J65" s="602" t="s">
        <v>281</v>
      </c>
      <c r="K65" s="602" t="s">
        <v>544</v>
      </c>
      <c r="L65" s="616" t="s">
        <v>646</v>
      </c>
      <c r="M65" s="590"/>
      <c r="N65" s="69">
        <f>IF(Q65&lt;&gt;"","S"&amp;TEXT(WEEKNUM(Q65,21),"00"),"")</f>
      </c>
      <c r="O65" s="69">
        <f>IF(Data!$Q58="","",YEAR(Data!$Q58))</f>
      </c>
      <c r="P65" s="69">
        <f>IF(Data!$Q58="","",MONTH(Data!$Q58))</f>
      </c>
      <c r="Q65" s="43">
        <v>25569.042182881945</v>
      </c>
      <c r="R65" s="3" t="s">
        <v>831</v>
      </c>
      <c r="S65" s="9">
        <v>2120</v>
      </c>
      <c r="T65" s="3"/>
      <c r="U65" s="3"/>
      <c r="V65" s="590"/>
      <c r="W65" s="31"/>
      <c r="X65" s="69">
        <f>IF(AC65&lt;&gt;"","S"&amp;TEXT(WEEKNUM(AC65,21),"00"),"")</f>
      </c>
      <c r="Y65" s="69">
        <f>IF(Data!$AC58="","",YEAR(Data!$AC58))</f>
      </c>
      <c r="Z65" s="69">
        <f>IF(Data!$AC58="","",MONTH(Data!$AC58))</f>
      </c>
      <c r="AA65" s="43">
        <v>25569.042183587964</v>
      </c>
      <c r="AB65" s="9">
        <v>5233</v>
      </c>
      <c r="AC65" s="43">
        <v>25569.042183599537</v>
      </c>
      <c r="AD65" s="9">
        <v>2120</v>
      </c>
      <c r="AE65" s="43">
        <v>25569.042183611113</v>
      </c>
      <c r="AF65" s="573"/>
      <c r="AG65" s="3"/>
      <c r="AH65" s="590"/>
      <c r="AI65" s="609">
        <v>4</v>
      </c>
      <c r="AJ65" s="610" t="s">
        <v>745</v>
      </c>
      <c r="AK65" s="590"/>
      <c r="AL65" s="3" t="s">
        <v>832</v>
      </c>
      <c r="AM65" s="590"/>
      <c r="AN65" s="602"/>
      <c r="AO65" s="590"/>
      <c r="AP65" s="610" t="s">
        <v>833</v>
      </c>
      <c r="AQ65" s="590"/>
      <c r="AR65" s="611"/>
      <c r="AS65" s="590"/>
      <c r="AT65" s="612">
        <v>2750</v>
      </c>
      <c r="AU65" s="612">
        <v>1105</v>
      </c>
      <c r="AV65" s="587">
        <f>IF(AT65="","",S65-AT65-AU65)</f>
      </c>
      <c r="AW65" s="588">
        <f>IFERROR(IF(tbl_DCFC[[#This Row], [F Montant HT]]="","",tbl_DCFC[[#This Row], [Marge]]/tbl_DCFC[[#This Row], [F Montant HT]]),"")</f>
      </c>
      <c r="AX65" s="8"/>
      <c r="AY65" s="3"/>
      <c r="AZ65" s="3"/>
      <c r="BA65" s="8"/>
    </row>
    <row x14ac:dyDescent="0.25" r="66" customHeight="1" ht="15">
      <c r="A66" s="614">
        <v>25569.042182627316</v>
      </c>
      <c r="B66" s="569">
        <f>IFERROR(INDEX(Tabelle2[BU],MATCH(tbl_DCFC[[#This Row], [Categorie]],CAT,0)),"")</f>
      </c>
      <c r="C66" s="615">
        <f>IF(D66&lt;&gt;"","S"&amp;TEXT(WEEKNUM(D66,21),"00"),"")</f>
      </c>
      <c r="D66" s="614">
        <v>25569.042182627316</v>
      </c>
      <c r="E66" s="599">
        <v>4709</v>
      </c>
      <c r="F66" s="602" t="s">
        <v>641</v>
      </c>
      <c r="G66" s="602" t="s">
        <v>336</v>
      </c>
      <c r="H66" s="602"/>
      <c r="I66" s="599">
        <v>530</v>
      </c>
      <c r="J66" s="602" t="s">
        <v>281</v>
      </c>
      <c r="K66" s="602" t="s">
        <v>544</v>
      </c>
      <c r="L66" s="616" t="s">
        <v>646</v>
      </c>
      <c r="M66" s="590"/>
      <c r="N66" s="69">
        <f>IF(Q66&lt;&gt;"","S"&amp;TEXT(WEEKNUM(Q66,21),"00"),"")</f>
      </c>
      <c r="O66" s="69">
        <f>IF(Data!$Q104="","",YEAR(Data!$Q104))</f>
      </c>
      <c r="P66" s="69">
        <f>IF(Data!$Q104="","",MONTH(Data!$Q104))</f>
      </c>
      <c r="Q66" s="43">
        <v>25569.042182881945</v>
      </c>
      <c r="R66" s="3" t="s">
        <v>831</v>
      </c>
      <c r="S66" s="9">
        <v>530</v>
      </c>
      <c r="T66" s="3"/>
      <c r="U66" s="3"/>
      <c r="V66" s="590"/>
      <c r="W66" s="31"/>
      <c r="X66" s="69">
        <f>IF(AC66&lt;&gt;"","S"&amp;TEXT(WEEKNUM(AC66,21),"00"),"")</f>
      </c>
      <c r="Y66" s="69">
        <f>IF(Data!$AC104="","",YEAR(Data!$AC104))</f>
      </c>
      <c r="Z66" s="69">
        <f>IF(Data!$AC104="","",MONTH(Data!$AC104))</f>
      </c>
      <c r="AA66" s="43">
        <v>25569.042183125</v>
      </c>
      <c r="AB66" s="9">
        <v>5209</v>
      </c>
      <c r="AC66" s="43">
        <v>25569.042183125</v>
      </c>
      <c r="AD66" s="9">
        <v>530</v>
      </c>
      <c r="AE66" s="31"/>
      <c r="AF66" s="573"/>
      <c r="AG66" s="3"/>
      <c r="AH66" s="590"/>
      <c r="AI66" s="609">
        <v>1</v>
      </c>
      <c r="AJ66" s="610" t="s">
        <v>745</v>
      </c>
      <c r="AK66" s="590"/>
      <c r="AL66" s="3" t="s">
        <v>834</v>
      </c>
      <c r="AM66" s="590"/>
      <c r="AN66" s="602"/>
      <c r="AO66" s="590"/>
      <c r="AP66" s="610" t="s">
        <v>833</v>
      </c>
      <c r="AQ66" s="590"/>
      <c r="AR66" s="611"/>
      <c r="AS66" s="590"/>
      <c r="AT66" s="612">
        <v>550</v>
      </c>
      <c r="AU66" s="612">
        <v>220</v>
      </c>
      <c r="AV66" s="587">
        <f>IF(AT66="","",S66-AT66-AU66)</f>
      </c>
      <c r="AW66" s="588">
        <f>IFERROR(IF(tbl_DCFC[[#This Row], [F Montant HT]]="","",tbl_DCFC[[#This Row], [Marge]]/tbl_DCFC[[#This Row], [F Montant HT]]),"")</f>
      </c>
      <c r="AX66" s="8"/>
      <c r="AY66" s="3"/>
      <c r="AZ66" s="3"/>
      <c r="BA66" s="8"/>
    </row>
    <row x14ac:dyDescent="0.25" r="67" customHeight="1" ht="15">
      <c r="A67" s="614">
        <v>25569.042182627316</v>
      </c>
      <c r="B67" s="569">
        <f>IFERROR(INDEX(Tabelle2[BU],MATCH(tbl_DCFC[[#This Row], [Categorie]],CAT,0)),"")</f>
      </c>
      <c r="C67" s="615">
        <f>IF(D67&lt;&gt;"","S"&amp;TEXT(WEEKNUM(D67,21),"00"),"")</f>
      </c>
      <c r="D67" s="614">
        <v>25569.042182627316</v>
      </c>
      <c r="E67" s="599">
        <v>4709</v>
      </c>
      <c r="F67" s="602" t="s">
        <v>641</v>
      </c>
      <c r="G67" s="602" t="s">
        <v>336</v>
      </c>
      <c r="H67" s="602"/>
      <c r="I67" s="599">
        <v>530</v>
      </c>
      <c r="J67" s="602" t="s">
        <v>281</v>
      </c>
      <c r="K67" s="602" t="s">
        <v>544</v>
      </c>
      <c r="L67" s="616" t="s">
        <v>646</v>
      </c>
      <c r="M67" s="590"/>
      <c r="N67" s="69">
        <f>IF(Q67&lt;&gt;"","S"&amp;TEXT(WEEKNUM(Q67,21),"00"),"")</f>
      </c>
      <c r="O67" s="69">
        <f>IF(Data!$Q123="","",YEAR(Data!$Q123))</f>
      </c>
      <c r="P67" s="69">
        <f>IF(Data!$Q123="","",MONTH(Data!$Q123))</f>
      </c>
      <c r="Q67" s="43">
        <v>25569.042182881945</v>
      </c>
      <c r="R67" s="3" t="s">
        <v>831</v>
      </c>
      <c r="S67" s="9">
        <v>530</v>
      </c>
      <c r="T67" s="3"/>
      <c r="U67" s="3"/>
      <c r="V67" s="590"/>
      <c r="W67" s="31"/>
      <c r="X67" s="69">
        <f>IF(AC67&lt;&gt;"","S"&amp;TEXT(WEEKNUM(AC67,21),"00"),"")</f>
      </c>
      <c r="Y67" s="69">
        <f>IF(Data!$AC123="","",YEAR(Data!$AC123))</f>
      </c>
      <c r="Z67" s="69">
        <f>IF(Data!$AC123="","",MONTH(Data!$AC123))</f>
      </c>
      <c r="AA67" s="43">
        <v>25569.042183379628</v>
      </c>
      <c r="AB67" s="9">
        <v>5221</v>
      </c>
      <c r="AC67" s="43">
        <v>25569.042183391204</v>
      </c>
      <c r="AD67" s="9">
        <v>530</v>
      </c>
      <c r="AE67" s="31"/>
      <c r="AF67" s="573"/>
      <c r="AG67" s="3"/>
      <c r="AH67" s="590"/>
      <c r="AI67" s="609">
        <v>1</v>
      </c>
      <c r="AJ67" s="610" t="s">
        <v>745</v>
      </c>
      <c r="AK67" s="590"/>
      <c r="AL67" s="3" t="s">
        <v>835</v>
      </c>
      <c r="AM67" s="590"/>
      <c r="AN67" s="602"/>
      <c r="AO67" s="590"/>
      <c r="AP67" s="610" t="s">
        <v>833</v>
      </c>
      <c r="AQ67" s="590"/>
      <c r="AR67" s="611"/>
      <c r="AS67" s="590"/>
      <c r="AT67" s="612"/>
      <c r="AU67" s="612"/>
      <c r="AV67" s="587">
        <f>IF(AT67="","",S67-AT67-AU67)</f>
      </c>
      <c r="AW67" s="588">
        <f>IFERROR(IF(tbl_DCFC[[#This Row], [F Montant HT]]="","",tbl_DCFC[[#This Row], [Marge]]/tbl_DCFC[[#This Row], [F Montant HT]]),"")</f>
      </c>
      <c r="AX67" s="8"/>
      <c r="AY67" s="3"/>
      <c r="AZ67" s="3"/>
      <c r="BA67" s="8"/>
    </row>
    <row x14ac:dyDescent="0.25" r="68" customHeight="1" ht="15">
      <c r="A68" s="614">
        <v>25569.042182627316</v>
      </c>
      <c r="B68" s="569">
        <f>IFERROR(INDEX(Tabelle2[BU],MATCH(tbl_DCFC[[#This Row], [Categorie]],CAT,0)),"")</f>
      </c>
      <c r="C68" s="615">
        <f>IF(D68&lt;&gt;"","S"&amp;TEXT(WEEKNUM(D68,21),"00"),"")</f>
      </c>
      <c r="D68" s="614">
        <v>25569.042182627316</v>
      </c>
      <c r="E68" s="599">
        <v>4710</v>
      </c>
      <c r="F68" s="602" t="s">
        <v>641</v>
      </c>
      <c r="G68" s="602" t="s">
        <v>336</v>
      </c>
      <c r="H68" s="602"/>
      <c r="I68" s="599">
        <v>230</v>
      </c>
      <c r="J68" s="602" t="s">
        <v>281</v>
      </c>
      <c r="K68" s="602" t="s">
        <v>544</v>
      </c>
      <c r="L68" s="616" t="s">
        <v>646</v>
      </c>
      <c r="M68" s="590"/>
      <c r="N68" s="69">
        <f>IF(Q68&lt;&gt;"","S"&amp;TEXT(WEEKNUM(Q68,21),"00"),"")</f>
      </c>
      <c r="O68" s="69">
        <f>IF(Data!$Q59="","",YEAR(Data!$Q59))</f>
      </c>
      <c r="P68" s="69">
        <f>IF(Data!$Q59="","",MONTH(Data!$Q59))</f>
      </c>
      <c r="Q68" s="43">
        <v>25569.042183113426</v>
      </c>
      <c r="R68" s="3" t="s">
        <v>836</v>
      </c>
      <c r="S68" s="9">
        <v>230</v>
      </c>
      <c r="T68" s="3"/>
      <c r="U68" s="3"/>
      <c r="V68" s="590"/>
      <c r="W68" s="31"/>
      <c r="X68" s="69">
        <f>IF(AC68&lt;&gt;"","S"&amp;TEXT(WEEKNUM(AC68,21),"00"),"")</f>
      </c>
      <c r="Y68" s="69">
        <f>IF(Data!$AC59="","",YEAR(Data!$AC59))</f>
      </c>
      <c r="Z68" s="69">
        <f>IF(Data!$AC59="","",MONTH(Data!$AC59))</f>
      </c>
      <c r="AA68" s="43">
        <v>25569.042183379628</v>
      </c>
      <c r="AB68" s="9">
        <v>5223</v>
      </c>
      <c r="AC68" s="43">
        <v>25569.042183391204</v>
      </c>
      <c r="AD68" s="9">
        <v>230</v>
      </c>
      <c r="AE68" s="43">
        <v>25569.042183761576</v>
      </c>
      <c r="AF68" s="573"/>
      <c r="AG68" s="3"/>
      <c r="AH68" s="590"/>
      <c r="AI68" s="609">
        <v>1</v>
      </c>
      <c r="AJ68" s="610" t="s">
        <v>750</v>
      </c>
      <c r="AK68" s="590"/>
      <c r="AL68" s="3" t="s">
        <v>837</v>
      </c>
      <c r="AM68" s="590"/>
      <c r="AN68" s="602"/>
      <c r="AO68" s="590"/>
      <c r="AP68" s="610" t="s">
        <v>838</v>
      </c>
      <c r="AQ68" s="590"/>
      <c r="AR68" s="611"/>
      <c r="AS68" s="590"/>
      <c r="AT68" s="612">
        <v>26</v>
      </c>
      <c r="AU68" s="612"/>
      <c r="AV68" s="587">
        <f>IF(AT68="","",S68-AT68-AU68)</f>
      </c>
      <c r="AW68" s="588">
        <f>IFERROR(IF(tbl_DCFC[[#This Row], [F Montant HT]]="","",tbl_DCFC[[#This Row], [Marge]]/tbl_DCFC[[#This Row], [F Montant HT]]),"")</f>
      </c>
      <c r="AX68" s="8"/>
      <c r="AY68" s="3"/>
      <c r="AZ68" s="3"/>
      <c r="BA68" s="8"/>
    </row>
    <row x14ac:dyDescent="0.25" r="69" customHeight="1" ht="15">
      <c r="A69" s="614">
        <v>25569.042182627316</v>
      </c>
      <c r="B69" s="569">
        <f>IFERROR(INDEX(Tabelle2[BU],MATCH(tbl_DCFC[[#This Row], [Categorie]],CAT,0)),"")</f>
      </c>
      <c r="C69" s="615">
        <f>IF(D69&lt;&gt;"","S"&amp;TEXT(WEEKNUM(D69,21),"00"),"")</f>
      </c>
      <c r="D69" s="614">
        <v>25569.042182627316</v>
      </c>
      <c r="E69" s="599">
        <v>4710</v>
      </c>
      <c r="F69" s="602" t="s">
        <v>641</v>
      </c>
      <c r="G69" s="602" t="s">
        <v>336</v>
      </c>
      <c r="H69" s="602"/>
      <c r="I69" s="599">
        <v>5950</v>
      </c>
      <c r="J69" s="602" t="s">
        <v>281</v>
      </c>
      <c r="K69" s="602" t="s">
        <v>544</v>
      </c>
      <c r="L69" s="616" t="s">
        <v>646</v>
      </c>
      <c r="M69" s="590"/>
      <c r="N69" s="69">
        <f>IF(Q69&lt;&gt;"","S"&amp;TEXT(WEEKNUM(Q69,21),"00"),"")</f>
      </c>
      <c r="O69" s="69">
        <f>IF(Data!$Q125="","",YEAR(Data!$Q125))</f>
      </c>
      <c r="P69" s="69">
        <f>IF(Data!$Q125="","",MONTH(Data!$Q125))</f>
      </c>
      <c r="Q69" s="43">
        <v>25569.042183113426</v>
      </c>
      <c r="R69" s="3" t="s">
        <v>836</v>
      </c>
      <c r="S69" s="9">
        <v>5950</v>
      </c>
      <c r="T69" s="3"/>
      <c r="U69" s="3"/>
      <c r="V69" s="590"/>
      <c r="W69" s="31"/>
      <c r="X69" s="69">
        <f>IF(AC69&lt;&gt;"","S"&amp;TEXT(WEEKNUM(AC69,21),"00"),"")</f>
      </c>
      <c r="Y69" s="69">
        <f>IF(Data!$AC125="","",YEAR(Data!$AC125))</f>
      </c>
      <c r="Z69" s="69">
        <f>IF(Data!$AC125="","",MONTH(Data!$AC125))</f>
      </c>
      <c r="AA69" s="43">
        <v>25569.04218353009</v>
      </c>
      <c r="AB69" s="9">
        <v>5229</v>
      </c>
      <c r="AC69" s="43">
        <v>25569.04218353009</v>
      </c>
      <c r="AD69" s="9">
        <v>5950</v>
      </c>
      <c r="AE69" s="43">
        <v>25569.042183761576</v>
      </c>
      <c r="AF69" s="573"/>
      <c r="AG69" s="3"/>
      <c r="AH69" s="590"/>
      <c r="AI69" s="609">
        <v>4</v>
      </c>
      <c r="AJ69" s="610" t="s">
        <v>750</v>
      </c>
      <c r="AK69" s="590"/>
      <c r="AL69" s="3" t="s">
        <v>839</v>
      </c>
      <c r="AM69" s="590"/>
      <c r="AN69" s="602"/>
      <c r="AO69" s="590"/>
      <c r="AP69" s="610" t="s">
        <v>838</v>
      </c>
      <c r="AQ69" s="590"/>
      <c r="AR69" s="611"/>
      <c r="AS69" s="590"/>
      <c r="AT69" s="612">
        <v>674</v>
      </c>
      <c r="AU69" s="612"/>
      <c r="AV69" s="587">
        <f>IF(AT69="","",S69-AT69-AU69)</f>
      </c>
      <c r="AW69" s="588">
        <f>IFERROR(IF(tbl_DCFC[[#This Row], [F Montant HT]]="","",tbl_DCFC[[#This Row], [Marge]]/tbl_DCFC[[#This Row], [F Montant HT]]),"")</f>
      </c>
      <c r="AX69" s="8"/>
      <c r="AY69" s="3"/>
      <c r="AZ69" s="3"/>
      <c r="BA69" s="8"/>
    </row>
    <row x14ac:dyDescent="0.25" r="70" customHeight="1" ht="15">
      <c r="A70" s="614">
        <v>25569.042182627316</v>
      </c>
      <c r="B70" s="569">
        <f>IFERROR(INDEX(Tabelle2[BU],MATCH(tbl_DCFC[[#This Row], [Categorie]],CAT,0)),"")</f>
      </c>
      <c r="C70" s="615">
        <f>IF(D70&lt;&gt;"","S"&amp;TEXT(WEEKNUM(D70,21),"00"),"")</f>
      </c>
      <c r="D70" s="614">
        <v>25569.042182627316</v>
      </c>
      <c r="E70" s="599">
        <v>4711</v>
      </c>
      <c r="F70" s="602" t="s">
        <v>641</v>
      </c>
      <c r="G70" s="602" t="s">
        <v>840</v>
      </c>
      <c r="H70" s="602"/>
      <c r="I70" s="599">
        <v>4144</v>
      </c>
      <c r="J70" s="602" t="s">
        <v>281</v>
      </c>
      <c r="K70" s="602" t="s">
        <v>548</v>
      </c>
      <c r="L70" s="616" t="s">
        <v>646</v>
      </c>
      <c r="M70" s="590"/>
      <c r="N70" s="69">
        <f>IF(Q70&lt;&gt;"","S"&amp;TEXT(WEEKNUM(Q70,21),"00"),"")</f>
      </c>
      <c r="O70" s="69">
        <f>IF(Data!$Q60="","",YEAR(Data!$Q60))</f>
      </c>
      <c r="P70" s="69">
        <f>IF(Data!$Q60="","",MONTH(Data!$Q60))</f>
      </c>
      <c r="Q70" s="43">
        <v>25569.042183217593</v>
      </c>
      <c r="R70" s="3" t="s">
        <v>841</v>
      </c>
      <c r="S70" s="9">
        <v>4144</v>
      </c>
      <c r="T70" s="3"/>
      <c r="U70" s="3"/>
      <c r="V70" s="590"/>
      <c r="W70" s="31"/>
      <c r="X70" s="69">
        <f>IF(AC70&lt;&gt;"","S"&amp;TEXT(WEEKNUM(AC70,21),"00"),"")</f>
      </c>
      <c r="Y70" s="69">
        <f>IF(Data!$AC60="","",YEAR(Data!$AC60))</f>
      </c>
      <c r="Z70" s="69">
        <f>IF(Data!$AC60="","",MONTH(Data!$AC60))</f>
      </c>
      <c r="AA70" s="31"/>
      <c r="AB70" s="8"/>
      <c r="AC70" s="637"/>
      <c r="AD70" s="9"/>
      <c r="AE70" s="43">
        <v>25569.04218355324</v>
      </c>
      <c r="AF70" s="573"/>
      <c r="AG70" s="3"/>
      <c r="AH70" s="590"/>
      <c r="AI70" s="609">
        <v>1</v>
      </c>
      <c r="AJ70" s="610" t="s">
        <v>842</v>
      </c>
      <c r="AK70" s="590"/>
      <c r="AL70" s="3" t="s">
        <v>843</v>
      </c>
      <c r="AM70" s="590"/>
      <c r="AN70" s="602"/>
      <c r="AO70" s="590"/>
      <c r="AP70" s="610" t="s">
        <v>844</v>
      </c>
      <c r="AQ70" s="590"/>
      <c r="AR70" s="611"/>
      <c r="AS70" s="590"/>
      <c r="AT70" s="612"/>
      <c r="AU70" s="612"/>
      <c r="AV70" s="587">
        <f>IF(AT70="","",S70-AT70-AU70)</f>
      </c>
      <c r="AW70" s="588">
        <f>IFERROR(IF(tbl_DCFC[[#This Row], [F Montant HT]]="","",tbl_DCFC[[#This Row], [Marge]]/tbl_DCFC[[#This Row], [F Montant HT]]),"")</f>
      </c>
      <c r="AX70" s="8"/>
      <c r="AY70" s="3"/>
      <c r="AZ70" s="3"/>
      <c r="BA70" s="8"/>
    </row>
    <row x14ac:dyDescent="0.25" r="71" customHeight="1" ht="15">
      <c r="A71" s="614">
        <v>25569.042182650464</v>
      </c>
      <c r="B71" s="569">
        <f>IFERROR(INDEX(Tabelle2[BU],MATCH(tbl_DCFC[[#This Row], [Categorie]],CAT,0)),"")</f>
      </c>
      <c r="C71" s="615">
        <f>IF(D71&lt;&gt;"","S"&amp;TEXT(WEEKNUM(D71,21),"00"),"")</f>
      </c>
      <c r="D71" s="614">
        <v>25569.042182650464</v>
      </c>
      <c r="E71" s="599">
        <v>4712</v>
      </c>
      <c r="F71" s="602" t="s">
        <v>641</v>
      </c>
      <c r="G71" s="602" t="s">
        <v>671</v>
      </c>
      <c r="H71" s="602"/>
      <c r="I71" s="599">
        <v>5541</v>
      </c>
      <c r="J71" s="602" t="s">
        <v>280</v>
      </c>
      <c r="K71" s="602" t="s">
        <v>548</v>
      </c>
      <c r="L71" s="616" t="s">
        <v>646</v>
      </c>
      <c r="M71" s="590"/>
      <c r="N71" s="69">
        <f>IF(Q71&lt;&gt;"","S"&amp;TEXT(WEEKNUM(Q71,21),"00"),"")</f>
      </c>
      <c r="O71" s="69">
        <f>IF(Data!$Q62="","",YEAR(Data!$Q62))</f>
      </c>
      <c r="P71" s="69">
        <f>IF(Data!$Q62="","",MONTH(Data!$Q62))</f>
      </c>
      <c r="Q71" s="43">
        <v>25569.04218304398</v>
      </c>
      <c r="R71" s="3" t="s">
        <v>845</v>
      </c>
      <c r="S71" s="9">
        <v>5541</v>
      </c>
      <c r="T71" s="3"/>
      <c r="U71" s="3"/>
      <c r="V71" s="590"/>
      <c r="W71" s="43">
        <v>25569.042182650464</v>
      </c>
      <c r="X71" s="69">
        <f>IF(AC71&lt;&gt;"","S"&amp;TEXT(WEEKNUM(AC71,21),"00"),"")</f>
      </c>
      <c r="Y71" s="69">
        <f>IF(Data!$AC62="","",YEAR(Data!$AC62))</f>
      </c>
      <c r="Z71" s="69">
        <f>IF(Data!$AC62="","",MONTH(Data!$AC62))</f>
      </c>
      <c r="AA71" s="31"/>
      <c r="AB71" s="8"/>
      <c r="AC71" s="637"/>
      <c r="AD71" s="9"/>
      <c r="AE71" s="43">
        <v>25569.042184282407</v>
      </c>
      <c r="AF71" s="573"/>
      <c r="AG71" s="3"/>
      <c r="AH71" s="590"/>
      <c r="AI71" s="609">
        <v>1</v>
      </c>
      <c r="AJ71" s="610" t="s">
        <v>846</v>
      </c>
      <c r="AK71" s="590"/>
      <c r="AL71" s="3"/>
      <c r="AM71" s="590"/>
      <c r="AN71" s="602"/>
      <c r="AO71" s="590"/>
      <c r="AP71" s="610" t="s">
        <v>847</v>
      </c>
      <c r="AQ71" s="590"/>
      <c r="AR71" s="611"/>
      <c r="AS71" s="590"/>
      <c r="AT71" s="612"/>
      <c r="AU71" s="612"/>
      <c r="AV71" s="587">
        <f>IF(AT71="","",S71-AT71-AU71)</f>
      </c>
      <c r="AW71" s="588">
        <f>IFERROR(IF(tbl_DCFC[[#This Row], [F Montant HT]]="","",tbl_DCFC[[#This Row], [Marge]]/tbl_DCFC[[#This Row], [F Montant HT]]),"")</f>
      </c>
      <c r="AX71" s="8"/>
      <c r="AY71" s="3"/>
      <c r="AZ71" s="3"/>
      <c r="BA71" s="8"/>
    </row>
    <row x14ac:dyDescent="0.25" r="72" customHeight="1" ht="15">
      <c r="A72" s="614">
        <v>25569.042182708334</v>
      </c>
      <c r="B72" s="569">
        <f>IFERROR(INDEX(Tabelle2[BU],MATCH(tbl_DCFC[[#This Row], [Categorie]],CAT,0)),"")</f>
      </c>
      <c r="C72" s="615">
        <f>IF(D72&lt;&gt;"","S"&amp;TEXT(WEEKNUM(D72,21),"00"),"")</f>
      </c>
      <c r="D72" s="614">
        <v>25569.042182708334</v>
      </c>
      <c r="E72" s="599">
        <v>4713</v>
      </c>
      <c r="F72" s="602" t="s">
        <v>641</v>
      </c>
      <c r="G72" s="602" t="s">
        <v>760</v>
      </c>
      <c r="H72" s="602"/>
      <c r="I72" s="599">
        <v>660</v>
      </c>
      <c r="J72" s="602" t="s">
        <v>281</v>
      </c>
      <c r="K72" s="602" t="s">
        <v>548</v>
      </c>
      <c r="L72" s="616" t="s">
        <v>646</v>
      </c>
      <c r="M72" s="590"/>
      <c r="N72" s="69">
        <f>IF(Q72&lt;&gt;"","S"&amp;TEXT(WEEKNUM(Q72,21),"00"),"")</f>
      </c>
      <c r="O72" s="69">
        <f>IF(Data!$Q63="","",YEAR(Data!$Q63))</f>
      </c>
      <c r="P72" s="69">
        <f>IF(Data!$Q63="","",MONTH(Data!$Q63))</f>
      </c>
      <c r="Q72" s="43">
        <v>25569.042182719906</v>
      </c>
      <c r="R72" s="3" t="s">
        <v>848</v>
      </c>
      <c r="S72" s="9">
        <v>660</v>
      </c>
      <c r="T72" s="3"/>
      <c r="U72" s="3"/>
      <c r="V72" s="590"/>
      <c r="W72" s="31"/>
      <c r="X72" s="69">
        <f>IF(AC72&lt;&gt;"","S"&amp;TEXT(WEEKNUM(AC72,21),"00"),"")</f>
      </c>
      <c r="Y72" s="69">
        <f>IF(Data!$AC63="","",YEAR(Data!$AC63))</f>
      </c>
      <c r="Z72" s="69">
        <f>IF(Data!$AC63="","",MONTH(Data!$AC63))</f>
      </c>
      <c r="AA72" s="43">
        <v>25569.04218277778</v>
      </c>
      <c r="AB72" s="9">
        <v>5194</v>
      </c>
      <c r="AC72" s="43">
        <v>25569.04218277778</v>
      </c>
      <c r="AD72" s="9">
        <v>660</v>
      </c>
      <c r="AE72" s="43">
        <v>25569.042182824072</v>
      </c>
      <c r="AF72" s="573"/>
      <c r="AG72" s="3"/>
      <c r="AH72" s="590"/>
      <c r="AI72" s="609">
        <v>1</v>
      </c>
      <c r="AJ72" s="610" t="s">
        <v>793</v>
      </c>
      <c r="AK72" s="590"/>
      <c r="AL72" s="3"/>
      <c r="AM72" s="590"/>
      <c r="AN72" s="602"/>
      <c r="AO72" s="590"/>
      <c r="AP72" s="610" t="s">
        <v>849</v>
      </c>
      <c r="AQ72" s="590"/>
      <c r="AR72" s="611"/>
      <c r="AS72" s="590"/>
      <c r="AT72" s="612"/>
      <c r="AU72" s="612">
        <v>237.5</v>
      </c>
      <c r="AV72" s="587">
        <f>IF(AT72="","",S72-AT72-AU72)</f>
      </c>
      <c r="AW72" s="588">
        <f>IFERROR(IF(tbl_DCFC[[#This Row], [F Montant HT]]="","",tbl_DCFC[[#This Row], [Marge]]/tbl_DCFC[[#This Row], [F Montant HT]]),"")</f>
      </c>
      <c r="AX72" s="8"/>
      <c r="AY72" s="3"/>
      <c r="AZ72" s="3"/>
      <c r="BA72" s="8"/>
    </row>
    <row x14ac:dyDescent="0.25" r="73" customHeight="1" ht="15">
      <c r="A73" s="614">
        <v>25569.0421828125</v>
      </c>
      <c r="B73" s="569">
        <f>IFERROR(INDEX(Tabelle2[BU],MATCH(tbl_DCFC[[#This Row], [Categorie]],CAT,0)),"")</f>
      </c>
      <c r="C73" s="615">
        <f>IF(D73&lt;&gt;"","S"&amp;TEXT(WEEKNUM(D73,21),"00"),"")</f>
      </c>
      <c r="D73" s="614">
        <v>25569.0421828125</v>
      </c>
      <c r="E73" s="599">
        <v>4714</v>
      </c>
      <c r="F73" s="602" t="s">
        <v>641</v>
      </c>
      <c r="G73" s="602" t="s">
        <v>645</v>
      </c>
      <c r="H73" s="602" t="s">
        <v>803</v>
      </c>
      <c r="I73" s="599">
        <v>18596</v>
      </c>
      <c r="J73" s="602" t="s">
        <v>721</v>
      </c>
      <c r="K73" s="602" t="s">
        <v>548</v>
      </c>
      <c r="L73" s="616" t="s">
        <v>650</v>
      </c>
      <c r="M73" s="590"/>
      <c r="N73" s="69">
        <f>IF(Q73&lt;&gt;"","S"&amp;TEXT(WEEKNUM(Q73,21),"00"),"")</f>
      </c>
      <c r="O73" s="69">
        <f>IF(Data!$Q67="","",YEAR(Data!$Q67))</f>
      </c>
      <c r="P73" s="69">
        <f>IF(Data!$Q67="","",MONTH(Data!$Q67))</f>
      </c>
      <c r="Q73" s="637"/>
      <c r="R73" s="3"/>
      <c r="S73" s="8"/>
      <c r="T73" s="3"/>
      <c r="U73" s="3"/>
      <c r="V73" s="590"/>
      <c r="W73" s="31"/>
      <c r="X73" s="69">
        <f>IF(AC73&lt;&gt;"","S"&amp;TEXT(WEEKNUM(AC73,21),"00"),"")</f>
      </c>
      <c r="Y73" s="69">
        <f>IF(Data!$AC67="","",YEAR(Data!$AC67))</f>
      </c>
      <c r="Z73" s="69">
        <f>IF(Data!$AC67="","",MONTH(Data!$AC67))</f>
      </c>
      <c r="AA73" s="31"/>
      <c r="AB73" s="8"/>
      <c r="AC73" s="637"/>
      <c r="AD73" s="9"/>
      <c r="AE73" s="31"/>
      <c r="AF73" s="573"/>
      <c r="AG73" s="3"/>
      <c r="AH73" s="590"/>
      <c r="AI73" s="609">
        <v>1</v>
      </c>
      <c r="AJ73" s="610" t="s">
        <v>850</v>
      </c>
      <c r="AK73" s="590"/>
      <c r="AL73" s="3" t="s">
        <v>851</v>
      </c>
      <c r="AM73" s="590"/>
      <c r="AN73" s="602"/>
      <c r="AO73" s="590"/>
      <c r="AP73" s="610" t="s">
        <v>852</v>
      </c>
      <c r="AQ73" s="590"/>
      <c r="AR73" s="611"/>
      <c r="AS73" s="590"/>
      <c r="AT73" s="612"/>
      <c r="AU73" s="612"/>
      <c r="AV73" s="587">
        <f>IF(AT73="","",S73-AT73-AU73)</f>
      </c>
      <c r="AW73" s="588">
        <f>IFERROR(IF(tbl_DCFC[[#This Row], [F Montant HT]]="","",tbl_DCFC[[#This Row], [Marge]]/tbl_DCFC[[#This Row], [F Montant HT]]),"")</f>
      </c>
      <c r="AX73" s="8"/>
      <c r="AY73" s="3"/>
      <c r="AZ73" s="3"/>
      <c r="BA73" s="8"/>
    </row>
    <row x14ac:dyDescent="0.25" r="74" customHeight="1" ht="15">
      <c r="A74" s="614">
        <v>25569.04218287037</v>
      </c>
      <c r="B74" s="569">
        <f>IFERROR(INDEX(Tabelle2[BU],MATCH(tbl_DCFC[[#This Row], [Categorie]],CAT,0)),"")</f>
      </c>
      <c r="C74" s="615">
        <f>IF(D74&lt;&gt;"","S"&amp;TEXT(WEEKNUM(D74,21),"00"),"")</f>
      </c>
      <c r="D74" s="614">
        <v>25569.04218287037</v>
      </c>
      <c r="E74" s="599">
        <v>4714</v>
      </c>
      <c r="F74" s="602" t="s">
        <v>693</v>
      </c>
      <c r="G74" s="602" t="s">
        <v>645</v>
      </c>
      <c r="H74" s="602" t="s">
        <v>803</v>
      </c>
      <c r="I74" s="599">
        <v>4683.5</v>
      </c>
      <c r="J74" s="602" t="s">
        <v>721</v>
      </c>
      <c r="K74" s="602" t="s">
        <v>548</v>
      </c>
      <c r="L74" s="616" t="s">
        <v>646</v>
      </c>
      <c r="M74" s="590"/>
      <c r="N74" s="69">
        <f>IF(Q74&lt;&gt;"","S"&amp;TEXT(WEEKNUM(Q74,21),"00"),"")</f>
      </c>
      <c r="O74" s="69">
        <f>IF(Data!$Q72="","",YEAR(Data!$Q72))</f>
      </c>
      <c r="P74" s="69">
        <f>IF(Data!$Q72="","",MONTH(Data!$Q72))</f>
      </c>
      <c r="Q74" s="43">
        <v>25569.04218306713</v>
      </c>
      <c r="R74" s="3" t="s">
        <v>853</v>
      </c>
      <c r="S74" s="9">
        <v>4683.5</v>
      </c>
      <c r="T74" s="3"/>
      <c r="U74" s="3"/>
      <c r="V74" s="590"/>
      <c r="W74" s="31"/>
      <c r="X74" s="69">
        <f>IF(AC74&lt;&gt;"","S"&amp;TEXT(WEEKNUM(AC74,21),"00"),"")</f>
      </c>
      <c r="Y74" s="69">
        <f>IF(Data!$AC72="","",YEAR(Data!$AC72))</f>
      </c>
      <c r="Z74" s="69">
        <f>IF(Data!$AC72="","",MONTH(Data!$AC72))</f>
      </c>
      <c r="AA74" s="43">
        <v>25569.042183194444</v>
      </c>
      <c r="AB74" s="9">
        <v>5211</v>
      </c>
      <c r="AC74" s="43">
        <v>25569.04218320602</v>
      </c>
      <c r="AD74" s="9">
        <v>4683.5</v>
      </c>
      <c r="AE74" s="43">
        <v>25569.042183217593</v>
      </c>
      <c r="AF74" s="573"/>
      <c r="AG74" s="3"/>
      <c r="AH74" s="590"/>
      <c r="AI74" s="609">
        <v>1</v>
      </c>
      <c r="AJ74" s="610" t="s">
        <v>850</v>
      </c>
      <c r="AK74" s="590"/>
      <c r="AL74" s="3" t="s">
        <v>854</v>
      </c>
      <c r="AM74" s="590"/>
      <c r="AN74" s="602"/>
      <c r="AO74" s="590"/>
      <c r="AP74" s="610" t="s">
        <v>852</v>
      </c>
      <c r="AQ74" s="590"/>
      <c r="AR74" s="611"/>
      <c r="AS74" s="590"/>
      <c r="AT74" s="612"/>
      <c r="AU74" s="612"/>
      <c r="AV74" s="587">
        <f>IF(AT74="","",S74-AT74-AU74)</f>
      </c>
      <c r="AW74" s="588">
        <f>IFERROR(IF(tbl_DCFC[[#This Row], [F Montant HT]]="","",tbl_DCFC[[#This Row], [Marge]]/tbl_DCFC[[#This Row], [F Montant HT]]),"")</f>
      </c>
      <c r="AX74" s="8"/>
      <c r="AY74" s="3"/>
      <c r="AZ74" s="3"/>
      <c r="BA74" s="8"/>
    </row>
    <row x14ac:dyDescent="0.25" r="75" customHeight="1" ht="15">
      <c r="A75" s="614">
        <v>25569.04218287037</v>
      </c>
      <c r="B75" s="569">
        <f>IFERROR(INDEX(Tabelle2[BU],MATCH(tbl_DCFC[[#This Row], [Categorie]],CAT,0)),"")</f>
      </c>
      <c r="C75" s="615">
        <f>IF(D75&lt;&gt;"","S"&amp;TEXT(WEEKNUM(D75,21),"00"),"")</f>
      </c>
      <c r="D75" s="614">
        <v>25569.04218287037</v>
      </c>
      <c r="E75" s="599">
        <v>4714</v>
      </c>
      <c r="F75" s="602" t="s">
        <v>855</v>
      </c>
      <c r="G75" s="602" t="s">
        <v>645</v>
      </c>
      <c r="H75" s="602" t="s">
        <v>803</v>
      </c>
      <c r="I75" s="599">
        <v>4683.5</v>
      </c>
      <c r="J75" s="602" t="s">
        <v>721</v>
      </c>
      <c r="K75" s="602" t="s">
        <v>548</v>
      </c>
      <c r="L75" s="616" t="s">
        <v>646</v>
      </c>
      <c r="M75" s="590"/>
      <c r="N75" s="69">
        <f>IF(Q75&lt;&gt;"","S"&amp;TEXT(WEEKNUM(Q75,21),"00"),"")</f>
      </c>
      <c r="O75" s="69">
        <f>IF(Data!$Q73="","",YEAR(Data!$Q73))</f>
      </c>
      <c r="P75" s="69">
        <f>IF(Data!$Q73="","",MONTH(Data!$Q73))</f>
      </c>
      <c r="Q75" s="43">
        <v>25569.04218306713</v>
      </c>
      <c r="R75" s="3" t="s">
        <v>856</v>
      </c>
      <c r="S75" s="9">
        <v>4683.5</v>
      </c>
      <c r="T75" s="3"/>
      <c r="U75" s="3"/>
      <c r="V75" s="590"/>
      <c r="W75" s="31"/>
      <c r="X75" s="69">
        <f>IF(AC75&lt;&gt;"","S"&amp;TEXT(WEEKNUM(AC75,21),"00"),"")</f>
      </c>
      <c r="Y75" s="69">
        <f>IF(Data!$AC73="","",YEAR(Data!$AC73))</f>
      </c>
      <c r="Z75" s="69">
        <f>IF(Data!$AC73="","",MONTH(Data!$AC73))</f>
      </c>
      <c r="AA75" s="31"/>
      <c r="AB75" s="8"/>
      <c r="AC75" s="637"/>
      <c r="AD75" s="9"/>
      <c r="AE75" s="43">
        <v>25569.042186643517</v>
      </c>
      <c r="AF75" s="573"/>
      <c r="AG75" s="3"/>
      <c r="AH75" s="590"/>
      <c r="AI75" s="609">
        <v>1</v>
      </c>
      <c r="AJ75" s="610" t="s">
        <v>857</v>
      </c>
      <c r="AK75" s="590"/>
      <c r="AL75" s="3" t="s">
        <v>858</v>
      </c>
      <c r="AM75" s="590"/>
      <c r="AN75" s="602"/>
      <c r="AO75" s="590"/>
      <c r="AP75" s="610" t="s">
        <v>852</v>
      </c>
      <c r="AQ75" s="590"/>
      <c r="AR75" s="611"/>
      <c r="AS75" s="590"/>
      <c r="AT75" s="612"/>
      <c r="AU75" s="612"/>
      <c r="AV75" s="587">
        <f>IF(AT75="","",S75-AT75-AU75)</f>
      </c>
      <c r="AW75" s="588">
        <f>IFERROR(IF(tbl_DCFC[[#This Row], [F Montant HT]]="","",tbl_DCFC[[#This Row], [Marge]]/tbl_DCFC[[#This Row], [F Montant HT]]),"")</f>
      </c>
      <c r="AX75" s="8"/>
      <c r="AY75" s="3"/>
      <c r="AZ75" s="3"/>
      <c r="BA75" s="8"/>
    </row>
    <row x14ac:dyDescent="0.25" r="76" customHeight="1" ht="15">
      <c r="A76" s="614">
        <v>25569.042182731482</v>
      </c>
      <c r="B76" s="569">
        <f>IFERROR(INDEX(Tabelle2[BU],MATCH(tbl_DCFC[[#This Row], [Categorie]],CAT,0)),"")</f>
      </c>
      <c r="C76" s="615">
        <f>IF(D76&lt;&gt;"","S"&amp;TEXT(WEEKNUM(D76,21),"00"),"")</f>
      </c>
      <c r="D76" s="614">
        <v>25569.042182731482</v>
      </c>
      <c r="E76" s="599">
        <v>4715</v>
      </c>
      <c r="F76" s="602" t="s">
        <v>641</v>
      </c>
      <c r="G76" s="602" t="s">
        <v>859</v>
      </c>
      <c r="H76" s="602"/>
      <c r="I76" s="599"/>
      <c r="J76" s="602" t="s">
        <v>281</v>
      </c>
      <c r="K76" s="602" t="s">
        <v>544</v>
      </c>
      <c r="L76" s="616" t="s">
        <v>774</v>
      </c>
      <c r="M76" s="590"/>
      <c r="N76" s="69">
        <f>IF(Q76&lt;&gt;"","S"&amp;TEXT(WEEKNUM(Q76,21),"00"),"")</f>
      </c>
      <c r="O76" s="69">
        <f>IF(Data!$Q66="","",YEAR(Data!$Q66))</f>
      </c>
      <c r="P76" s="69">
        <f>IF(Data!$Q66="","",MONTH(Data!$Q66))</f>
      </c>
      <c r="Q76" s="637"/>
      <c r="R76" s="3"/>
      <c r="S76" s="8"/>
      <c r="T76" s="3"/>
      <c r="U76" s="3"/>
      <c r="V76" s="590"/>
      <c r="W76" s="31"/>
      <c r="X76" s="69">
        <f>IF(AC76&lt;&gt;"","S"&amp;TEXT(WEEKNUM(AC76,21),"00"),"")</f>
      </c>
      <c r="Y76" s="69">
        <f>IF(Data!$AC66="","",YEAR(Data!$AC66))</f>
      </c>
      <c r="Z76" s="69">
        <f>IF(Data!$AC66="","",MONTH(Data!$AC66))</f>
      </c>
      <c r="AA76" s="31"/>
      <c r="AB76" s="8"/>
      <c r="AC76" s="637"/>
      <c r="AD76" s="9"/>
      <c r="AE76" s="31"/>
      <c r="AF76" s="573"/>
      <c r="AG76" s="3"/>
      <c r="AH76" s="590"/>
      <c r="AI76" s="609">
        <v>1</v>
      </c>
      <c r="AJ76" s="610" t="s">
        <v>860</v>
      </c>
      <c r="AK76" s="590"/>
      <c r="AL76" s="3"/>
      <c r="AM76" s="590"/>
      <c r="AN76" s="602"/>
      <c r="AO76" s="590"/>
      <c r="AP76" s="610" t="s">
        <v>861</v>
      </c>
      <c r="AQ76" s="590"/>
      <c r="AR76" s="611"/>
      <c r="AS76" s="590"/>
      <c r="AT76" s="612"/>
      <c r="AU76" s="612"/>
      <c r="AV76" s="587">
        <f>IF(AT76="","",S76-AT76-AU76)</f>
      </c>
      <c r="AW76" s="588">
        <f>IFERROR(IF(tbl_DCFC[[#This Row], [F Montant HT]]="","",tbl_DCFC[[#This Row], [Marge]]/tbl_DCFC[[#This Row], [F Montant HT]]),"")</f>
      </c>
      <c r="AX76" s="8"/>
      <c r="AY76" s="3"/>
      <c r="AZ76" s="3"/>
      <c r="BA76" s="8"/>
    </row>
    <row x14ac:dyDescent="0.25" r="77" customHeight="1" ht="15">
      <c r="A77" s="614">
        <v>25569.042182824072</v>
      </c>
      <c r="B77" s="569">
        <f>IFERROR(INDEX(Tabelle2[BU],MATCH(tbl_DCFC[[#This Row], [Categorie]],CAT,0)),"")</f>
      </c>
      <c r="C77" s="615">
        <f>IF(D77&lt;&gt;"","S"&amp;TEXT(WEEKNUM(D77,21),"00"),"")</f>
      </c>
      <c r="D77" s="614">
        <v>25569.042182824072</v>
      </c>
      <c r="E77" s="599">
        <v>4716</v>
      </c>
      <c r="F77" s="602" t="s">
        <v>641</v>
      </c>
      <c r="G77" s="602" t="s">
        <v>862</v>
      </c>
      <c r="H77" s="602"/>
      <c r="I77" s="599">
        <v>1250</v>
      </c>
      <c r="J77" s="602" t="s">
        <v>280</v>
      </c>
      <c r="K77" s="602" t="s">
        <v>548</v>
      </c>
      <c r="L77" s="616" t="s">
        <v>642</v>
      </c>
      <c r="M77" s="590"/>
      <c r="N77" s="69">
        <f>IF(Q77&lt;&gt;"","S"&amp;TEXT(WEEKNUM(Q77,21),"00"),"")</f>
      </c>
      <c r="O77" s="69">
        <f>IF(Data!$Q68="","",YEAR(Data!$Q68))</f>
      </c>
      <c r="P77" s="69">
        <f>IF(Data!$Q68="","",MONTH(Data!$Q68))</f>
      </c>
      <c r="Q77" s="637"/>
      <c r="R77" s="3"/>
      <c r="S77" s="8"/>
      <c r="T77" s="3"/>
      <c r="U77" s="3"/>
      <c r="V77" s="590"/>
      <c r="W77" s="31"/>
      <c r="X77" s="69">
        <f>IF(AC77&lt;&gt;"","S"&amp;TEXT(WEEKNUM(AC77,21),"00"),"")</f>
      </c>
      <c r="Y77" s="69">
        <f>IF(Data!$AC68="","",YEAR(Data!$AC68))</f>
      </c>
      <c r="Z77" s="69">
        <f>IF(Data!$AC68="","",MONTH(Data!$AC68))</f>
      </c>
      <c r="AA77" s="31"/>
      <c r="AB77" s="8"/>
      <c r="AC77" s="637"/>
      <c r="AD77" s="9"/>
      <c r="AE77" s="31"/>
      <c r="AF77" s="573"/>
      <c r="AG77" s="3"/>
      <c r="AH77" s="590"/>
      <c r="AI77" s="609">
        <v>1</v>
      </c>
      <c r="AJ77" s="610" t="s">
        <v>863</v>
      </c>
      <c r="AK77" s="590"/>
      <c r="AL77" s="3"/>
      <c r="AM77" s="590"/>
      <c r="AN77" s="602"/>
      <c r="AO77" s="590"/>
      <c r="AP77" s="610" t="s">
        <v>864</v>
      </c>
      <c r="AQ77" s="590"/>
      <c r="AR77" s="611"/>
      <c r="AS77" s="590"/>
      <c r="AT77" s="612"/>
      <c r="AU77" s="612"/>
      <c r="AV77" s="587">
        <f>IF(AT77="","",S77-AT77-AU77)</f>
      </c>
      <c r="AW77" s="588">
        <f>IFERROR(IF(tbl_DCFC[[#This Row], [F Montant HT]]="","",tbl_DCFC[[#This Row], [Marge]]/tbl_DCFC[[#This Row], [F Montant HT]]),"")</f>
      </c>
      <c r="AX77" s="8"/>
      <c r="AY77" s="3"/>
      <c r="AZ77" s="3"/>
      <c r="BA77" s="8"/>
    </row>
    <row x14ac:dyDescent="0.25" r="78" customHeight="1" ht="15">
      <c r="A78" s="614">
        <v>25569.042182824072</v>
      </c>
      <c r="B78" s="569">
        <f>IFERROR(INDEX(Tabelle2[BU],MATCH(tbl_DCFC[[#This Row], [Categorie]],CAT,0)),"")</f>
      </c>
      <c r="C78" s="615">
        <f>IF(D78&lt;&gt;"","S"&amp;TEXT(WEEKNUM(D78,21),"00"),"")</f>
      </c>
      <c r="D78" s="614">
        <v>25569.042182824072</v>
      </c>
      <c r="E78" s="599">
        <v>4717</v>
      </c>
      <c r="F78" s="602" t="s">
        <v>641</v>
      </c>
      <c r="G78" s="602" t="s">
        <v>862</v>
      </c>
      <c r="H78" s="602"/>
      <c r="I78" s="599"/>
      <c r="J78" s="602" t="s">
        <v>280</v>
      </c>
      <c r="K78" s="602" t="s">
        <v>548</v>
      </c>
      <c r="L78" s="616" t="s">
        <v>774</v>
      </c>
      <c r="M78" s="590"/>
      <c r="N78" s="69">
        <f>IF(Q78&lt;&gt;"","S"&amp;TEXT(WEEKNUM(Q78,21),"00"),"")</f>
      </c>
      <c r="O78" s="69">
        <f>IF(Data!$Q69="","",YEAR(Data!$Q69))</f>
      </c>
      <c r="P78" s="69">
        <f>IF(Data!$Q69="","",MONTH(Data!$Q69))</f>
      </c>
      <c r="Q78" s="637"/>
      <c r="R78" s="3"/>
      <c r="S78" s="8"/>
      <c r="T78" s="3"/>
      <c r="U78" s="3"/>
      <c r="V78" s="590"/>
      <c r="W78" s="31"/>
      <c r="X78" s="69">
        <f>IF(AC78&lt;&gt;"","S"&amp;TEXT(WEEKNUM(AC78,21),"00"),"")</f>
      </c>
      <c r="Y78" s="69">
        <f>IF(Data!$AC69="","",YEAR(Data!$AC69))</f>
      </c>
      <c r="Z78" s="69">
        <f>IF(Data!$AC69="","",MONTH(Data!$AC69))</f>
      </c>
      <c r="AA78" s="31"/>
      <c r="AB78" s="8"/>
      <c r="AC78" s="637"/>
      <c r="AD78" s="9"/>
      <c r="AE78" s="31"/>
      <c r="AF78" s="573"/>
      <c r="AG78" s="3"/>
      <c r="AH78" s="590"/>
      <c r="AI78" s="609">
        <v>2</v>
      </c>
      <c r="AJ78" s="610" t="s">
        <v>865</v>
      </c>
      <c r="AK78" s="590"/>
      <c r="AL78" s="3"/>
      <c r="AM78" s="590"/>
      <c r="AN78" s="602"/>
      <c r="AO78" s="590"/>
      <c r="AP78" s="610" t="s">
        <v>866</v>
      </c>
      <c r="AQ78" s="590"/>
      <c r="AR78" s="611"/>
      <c r="AS78" s="590"/>
      <c r="AT78" s="612"/>
      <c r="AU78" s="612"/>
      <c r="AV78" s="587">
        <f>IF(AT78="","",S78-AT78-AU78)</f>
      </c>
      <c r="AW78" s="588">
        <f>IFERROR(IF(tbl_DCFC[[#This Row], [F Montant HT]]="","",tbl_DCFC[[#This Row], [Marge]]/tbl_DCFC[[#This Row], [F Montant HT]]),"")</f>
      </c>
      <c r="AX78" s="8"/>
      <c r="AY78" s="3"/>
      <c r="AZ78" s="3"/>
      <c r="BA78" s="8"/>
    </row>
    <row x14ac:dyDescent="0.25" r="79" customHeight="1" ht="15">
      <c r="A79" s="614">
        <v>25569.042182824072</v>
      </c>
      <c r="B79" s="569">
        <f>IFERROR(INDEX(Tabelle2[BU],MATCH(tbl_DCFC[[#This Row], [Categorie]],CAT,0)),"")</f>
      </c>
      <c r="C79" s="615">
        <f>IF(D79&lt;&gt;"","S"&amp;TEXT(WEEKNUM(D79,21),"00"),"")</f>
      </c>
      <c r="D79" s="614">
        <v>25569.042182824072</v>
      </c>
      <c r="E79" s="599">
        <v>4718</v>
      </c>
      <c r="F79" s="602" t="s">
        <v>641</v>
      </c>
      <c r="G79" s="602" t="s">
        <v>862</v>
      </c>
      <c r="H79" s="602"/>
      <c r="I79" s="599">
        <v>1650</v>
      </c>
      <c r="J79" s="602" t="s">
        <v>280</v>
      </c>
      <c r="K79" s="602" t="s">
        <v>548</v>
      </c>
      <c r="L79" s="616" t="s">
        <v>646</v>
      </c>
      <c r="M79" s="590"/>
      <c r="N79" s="69">
        <f>IF(Q79&lt;&gt;"","S"&amp;TEXT(WEEKNUM(Q79,21),"00"),"")</f>
      </c>
      <c r="O79" s="69">
        <f>IF(Data!$Q70="","",YEAR(Data!$Q70))</f>
      </c>
      <c r="P79" s="69">
        <f>IF(Data!$Q70="","",MONTH(Data!$Q70))</f>
      </c>
      <c r="Q79" s="43">
        <v>25569.042183356483</v>
      </c>
      <c r="R79" s="3" t="s">
        <v>867</v>
      </c>
      <c r="S79" s="9">
        <v>1740</v>
      </c>
      <c r="T79" s="3"/>
      <c r="U79" s="3"/>
      <c r="V79" s="590"/>
      <c r="W79" s="43">
        <v>25569.042183379628</v>
      </c>
      <c r="X79" s="69">
        <f>IF(AC79&lt;&gt;"","S"&amp;TEXT(WEEKNUM(AC79,21),"00"),"")</f>
      </c>
      <c r="Y79" s="69">
        <f>IF(Data!$AC70="","",YEAR(Data!$AC70))</f>
      </c>
      <c r="Z79" s="69">
        <f>IF(Data!$AC70="","",MONTH(Data!$AC70))</f>
      </c>
      <c r="AA79" s="31"/>
      <c r="AB79" s="8"/>
      <c r="AC79" s="637"/>
      <c r="AD79" s="9"/>
      <c r="AE79" s="31"/>
      <c r="AF79" s="573"/>
      <c r="AG79" s="3"/>
      <c r="AH79" s="590"/>
      <c r="AI79" s="609">
        <v>1</v>
      </c>
      <c r="AJ79" s="610" t="s">
        <v>868</v>
      </c>
      <c r="AK79" s="590"/>
      <c r="AL79" s="3"/>
      <c r="AM79" s="590"/>
      <c r="AN79" s="602"/>
      <c r="AO79" s="590"/>
      <c r="AP79" s="610" t="s">
        <v>869</v>
      </c>
      <c r="AQ79" s="590"/>
      <c r="AR79" s="611"/>
      <c r="AS79" s="590"/>
      <c r="AT79" s="612"/>
      <c r="AU79" s="612"/>
      <c r="AV79" s="587">
        <f>IF(AT79="","",S79-AT79-AU79)</f>
      </c>
      <c r="AW79" s="588">
        <f>IFERROR(IF(tbl_DCFC[[#This Row], [F Montant HT]]="","",tbl_DCFC[[#This Row], [Marge]]/tbl_DCFC[[#This Row], [F Montant HT]]),"")</f>
      </c>
      <c r="AX79" s="8"/>
      <c r="AY79" s="3"/>
      <c r="AZ79" s="3"/>
      <c r="BA79" s="8"/>
    </row>
    <row x14ac:dyDescent="0.25" r="80" customHeight="1" ht="15">
      <c r="A80" s="614">
        <v>25569.042182824072</v>
      </c>
      <c r="B80" s="569">
        <f>IFERROR(INDEX(Tabelle2[BU],MATCH(tbl_DCFC[[#This Row], [Categorie]],CAT,0)),"")</f>
      </c>
      <c r="C80" s="615">
        <f>IF(D80&lt;&gt;"","S"&amp;TEXT(WEEKNUM(D80,21),"00"),"")</f>
      </c>
      <c r="D80" s="614">
        <v>25569.042182824072</v>
      </c>
      <c r="E80" s="599">
        <v>4719</v>
      </c>
      <c r="F80" s="602" t="s">
        <v>641</v>
      </c>
      <c r="G80" s="602" t="s">
        <v>862</v>
      </c>
      <c r="H80" s="602"/>
      <c r="I80" s="599"/>
      <c r="J80" s="602" t="s">
        <v>280</v>
      </c>
      <c r="K80" s="602" t="s">
        <v>548</v>
      </c>
      <c r="L80" s="616" t="s">
        <v>774</v>
      </c>
      <c r="M80" s="590"/>
      <c r="N80" s="69">
        <f>IF(Q80&lt;&gt;"","S"&amp;TEXT(WEEKNUM(Q80,21),"00"),"")</f>
      </c>
      <c r="O80" s="69">
        <f>IF(Data!$Q71="","",YEAR(Data!$Q71))</f>
      </c>
      <c r="P80" s="69">
        <f>IF(Data!$Q71="","",MONTH(Data!$Q71))</f>
      </c>
      <c r="Q80" s="637"/>
      <c r="R80" s="3"/>
      <c r="S80" s="8"/>
      <c r="T80" s="3"/>
      <c r="U80" s="3"/>
      <c r="V80" s="590"/>
      <c r="W80" s="31"/>
      <c r="X80" s="69">
        <f>IF(AC80&lt;&gt;"","S"&amp;TEXT(WEEKNUM(AC80,21),"00"),"")</f>
      </c>
      <c r="Y80" s="69">
        <f>IF(Data!$AC71="","",YEAR(Data!$AC71))</f>
      </c>
      <c r="Z80" s="69">
        <f>IF(Data!$AC71="","",MONTH(Data!$AC71))</f>
      </c>
      <c r="AA80" s="31"/>
      <c r="AB80" s="8"/>
      <c r="AC80" s="637"/>
      <c r="AD80" s="9"/>
      <c r="AE80" s="31"/>
      <c r="AF80" s="573"/>
      <c r="AG80" s="3"/>
      <c r="AH80" s="590"/>
      <c r="AI80" s="609">
        <v>1</v>
      </c>
      <c r="AJ80" s="610" t="s">
        <v>870</v>
      </c>
      <c r="AK80" s="590"/>
      <c r="AL80" s="3" t="s">
        <v>871</v>
      </c>
      <c r="AM80" s="590"/>
      <c r="AN80" s="602"/>
      <c r="AO80" s="590"/>
      <c r="AP80" s="610" t="s">
        <v>872</v>
      </c>
      <c r="AQ80" s="590"/>
      <c r="AR80" s="611"/>
      <c r="AS80" s="590"/>
      <c r="AT80" s="612"/>
      <c r="AU80" s="612"/>
      <c r="AV80" s="587">
        <f>IF(AT80="","",S80-AT80-AU80)</f>
      </c>
      <c r="AW80" s="588">
        <f>IFERROR(IF(tbl_DCFC[[#This Row], [F Montant HT]]="","",tbl_DCFC[[#This Row], [Marge]]/tbl_DCFC[[#This Row], [F Montant HT]]),"")</f>
      </c>
      <c r="AX80" s="8"/>
      <c r="AY80" s="3"/>
      <c r="AZ80" s="3"/>
      <c r="BA80" s="8"/>
    </row>
    <row x14ac:dyDescent="0.25" r="81" customHeight="1" ht="15">
      <c r="A81" s="614">
        <v>25569.042182893518</v>
      </c>
      <c r="B81" s="569">
        <f>IFERROR(INDEX(Tabelle2[BU],MATCH(tbl_DCFC[[#This Row], [Categorie]],CAT,0)),"")</f>
      </c>
      <c r="C81" s="615">
        <f>IF(D81&lt;&gt;"","S"&amp;TEXT(WEEKNUM(D81,21),"00"),"")</f>
      </c>
      <c r="D81" s="614">
        <v>25569.042182893518</v>
      </c>
      <c r="E81" s="599">
        <v>4720</v>
      </c>
      <c r="F81" s="602" t="s">
        <v>641</v>
      </c>
      <c r="G81" s="602" t="s">
        <v>873</v>
      </c>
      <c r="H81" s="602"/>
      <c r="I81" s="599">
        <v>1520</v>
      </c>
      <c r="J81" s="602" t="s">
        <v>280</v>
      </c>
      <c r="K81" s="602" t="s">
        <v>548</v>
      </c>
      <c r="L81" s="616" t="s">
        <v>642</v>
      </c>
      <c r="M81" s="590"/>
      <c r="N81" s="3"/>
      <c r="O81" s="69">
        <f>IF(Data!$Q79="","",YEAR(Data!$Q79))</f>
      </c>
      <c r="P81" s="69">
        <f>IF(Data!$Q79="","",MONTH(Data!$Q79))</f>
      </c>
      <c r="Q81" s="637"/>
      <c r="R81" s="3"/>
      <c r="S81" s="8"/>
      <c r="T81" s="3"/>
      <c r="U81" s="3"/>
      <c r="V81" s="590"/>
      <c r="W81" s="31"/>
      <c r="X81" s="69">
        <f>IF(AC81&lt;&gt;"","S"&amp;TEXT(WEEKNUM(AC81,21),"00"),"")</f>
      </c>
      <c r="Y81" s="69">
        <f>IF(Data!$AC79="","",YEAR(Data!$AC79))</f>
      </c>
      <c r="Z81" s="69">
        <f>IF(Data!$AC79="","",MONTH(Data!$AC79))</f>
      </c>
      <c r="AA81" s="31"/>
      <c r="AB81" s="8"/>
      <c r="AC81" s="637"/>
      <c r="AD81" s="9"/>
      <c r="AE81" s="31"/>
      <c r="AF81" s="573"/>
      <c r="AG81" s="3"/>
      <c r="AH81" s="590"/>
      <c r="AI81" s="609">
        <v>1</v>
      </c>
      <c r="AJ81" s="610" t="s">
        <v>790</v>
      </c>
      <c r="AK81" s="590"/>
      <c r="AL81" s="3" t="s">
        <v>874</v>
      </c>
      <c r="AM81" s="590"/>
      <c r="AN81" s="602"/>
      <c r="AO81" s="590"/>
      <c r="AP81" s="610" t="s">
        <v>875</v>
      </c>
      <c r="AQ81" s="590"/>
      <c r="AR81" s="611"/>
      <c r="AS81" s="590"/>
      <c r="AT81" s="612"/>
      <c r="AU81" s="612"/>
      <c r="AV81" s="587"/>
      <c r="AW81" s="588"/>
      <c r="AX81" s="8"/>
      <c r="AY81" s="3"/>
      <c r="AZ81" s="3"/>
      <c r="BA81" s="8"/>
    </row>
    <row x14ac:dyDescent="0.25" r="82" customHeight="1" ht="15">
      <c r="A82" s="614">
        <v>25569.042182893518</v>
      </c>
      <c r="B82" s="569">
        <f>IFERROR(INDEX(Tabelle2[BU],MATCH(tbl_DCFC[[#This Row], [Categorie]],CAT,0)),"")</f>
      </c>
      <c r="C82" s="615">
        <f>IF(D82&lt;&gt;"","S"&amp;TEXT(WEEKNUM(D82,21),"00"),"")</f>
      </c>
      <c r="D82" s="614">
        <v>25569.042182893518</v>
      </c>
      <c r="E82" s="599">
        <v>4721</v>
      </c>
      <c r="F82" s="602" t="s">
        <v>641</v>
      </c>
      <c r="G82" s="602" t="s">
        <v>876</v>
      </c>
      <c r="H82" s="602"/>
      <c r="I82" s="599">
        <v>737</v>
      </c>
      <c r="J82" s="602" t="s">
        <v>281</v>
      </c>
      <c r="K82" s="602" t="s">
        <v>548</v>
      </c>
      <c r="L82" s="616" t="s">
        <v>646</v>
      </c>
      <c r="M82" s="590"/>
      <c r="N82" s="69">
        <f>IF(Q82&lt;&gt;"","S"&amp;TEXT(WEEKNUM(Q82,21),"00"),"")</f>
      </c>
      <c r="O82" s="69">
        <f>IF(Data!$Q75="","",YEAR(Data!$Q75))</f>
      </c>
      <c r="P82" s="69">
        <f>IF(Data!$Q75="","",MONTH(Data!$Q75))</f>
      </c>
      <c r="Q82" s="43">
        <v>25569.042182951387</v>
      </c>
      <c r="R82" s="3" t="s">
        <v>877</v>
      </c>
      <c r="S82" s="9">
        <v>737</v>
      </c>
      <c r="T82" s="3"/>
      <c r="U82" s="3"/>
      <c r="V82" s="590"/>
      <c r="W82" s="43">
        <v>25569.042182951387</v>
      </c>
      <c r="X82" s="69">
        <f>IF(AC82&lt;&gt;"","S"&amp;TEXT(WEEKNUM(AC82,21),"00"),"")</f>
      </c>
      <c r="Y82" s="69">
        <f>IF(Data!$AC75="","",YEAR(Data!$AC75))</f>
      </c>
      <c r="Z82" s="69">
        <f>IF(Data!$AC75="","",MONTH(Data!$AC75))</f>
      </c>
      <c r="AA82" s="43">
        <v>25569.04218298611</v>
      </c>
      <c r="AB82" s="9">
        <v>5205</v>
      </c>
      <c r="AC82" s="43">
        <v>25569.042183020832</v>
      </c>
      <c r="AD82" s="9">
        <v>737</v>
      </c>
      <c r="AE82" s="43">
        <v>25569.042183020832</v>
      </c>
      <c r="AF82" s="573"/>
      <c r="AG82" s="3"/>
      <c r="AH82" s="590"/>
      <c r="AI82" s="609">
        <v>1</v>
      </c>
      <c r="AJ82" s="610" t="s">
        <v>878</v>
      </c>
      <c r="AK82" s="590"/>
      <c r="AL82" s="3" t="s">
        <v>879</v>
      </c>
      <c r="AM82" s="590"/>
      <c r="AN82" s="602"/>
      <c r="AO82" s="590"/>
      <c r="AP82" s="610" t="s">
        <v>880</v>
      </c>
      <c r="AQ82" s="590"/>
      <c r="AR82" s="611"/>
      <c r="AS82" s="590"/>
      <c r="AT82" s="612"/>
      <c r="AU82" s="612"/>
      <c r="AV82" s="587">
        <f>IF(AT82="","",S82-AT82-AU82)</f>
      </c>
      <c r="AW82" s="588">
        <f>IFERROR(IF(tbl_DCFC[[#This Row], [F Montant HT]]="","",tbl_DCFC[[#This Row], [Marge]]/tbl_DCFC[[#This Row], [F Montant HT]]),"")</f>
      </c>
      <c r="AX82" s="8"/>
      <c r="AY82" s="3"/>
      <c r="AZ82" s="3"/>
      <c r="BA82" s="8"/>
    </row>
    <row x14ac:dyDescent="0.25" r="83" customHeight="1" ht="15">
      <c r="A83" s="614">
        <v>25569.042182893518</v>
      </c>
      <c r="B83" s="569">
        <f>IFERROR(INDEX(Tabelle2[BU],MATCH(tbl_DCFC[[#This Row], [Categorie]],CAT,0)),"")</f>
      </c>
      <c r="C83" s="615">
        <f>IF(D83&lt;&gt;"","S"&amp;TEXT(WEEKNUM(D83,21),"00"),"")</f>
      </c>
      <c r="D83" s="614">
        <v>25569.042182893518</v>
      </c>
      <c r="E83" s="599">
        <v>4721</v>
      </c>
      <c r="F83" s="602" t="s">
        <v>641</v>
      </c>
      <c r="G83" s="602" t="s">
        <v>876</v>
      </c>
      <c r="H83" s="602"/>
      <c r="I83" s="599">
        <v>460</v>
      </c>
      <c r="J83" s="602" t="s">
        <v>281</v>
      </c>
      <c r="K83" s="602" t="s">
        <v>548</v>
      </c>
      <c r="L83" s="616" t="s">
        <v>642</v>
      </c>
      <c r="M83" s="590"/>
      <c r="N83" s="69">
        <f>IF(Q83&lt;&gt;"","S"&amp;TEXT(WEEKNUM(Q83,21),"00"),"")</f>
      </c>
      <c r="O83" s="69">
        <f>IF(Data!$Q90="","",YEAR(Data!$Q90))</f>
      </c>
      <c r="P83" s="69">
        <f>IF(Data!$Q90="","",MONTH(Data!$Q90))</f>
      </c>
      <c r="Q83" s="637"/>
      <c r="R83" s="3"/>
      <c r="S83" s="8"/>
      <c r="T83" s="3"/>
      <c r="U83" s="3"/>
      <c r="V83" s="590"/>
      <c r="W83" s="31"/>
      <c r="X83" s="69">
        <f>IF(AC83&lt;&gt;"","S"&amp;TEXT(WEEKNUM(AC83,21),"00"),"")</f>
      </c>
      <c r="Y83" s="69">
        <f>IF(Data!$AC90="","",YEAR(Data!$AC90))</f>
      </c>
      <c r="Z83" s="69">
        <f>IF(Data!$AC90="","",MONTH(Data!$AC90))</f>
      </c>
      <c r="AA83" s="31"/>
      <c r="AB83" s="8"/>
      <c r="AC83" s="637"/>
      <c r="AD83" s="9"/>
      <c r="AE83" s="31"/>
      <c r="AF83" s="573"/>
      <c r="AG83" s="3"/>
      <c r="AH83" s="590"/>
      <c r="AI83" s="619"/>
      <c r="AJ83" s="610"/>
      <c r="AK83" s="590"/>
      <c r="AL83" s="3" t="s">
        <v>881</v>
      </c>
      <c r="AM83" s="590"/>
      <c r="AN83" s="602"/>
      <c r="AO83" s="590"/>
      <c r="AP83" s="610" t="s">
        <v>880</v>
      </c>
      <c r="AQ83" s="590"/>
      <c r="AR83" s="611"/>
      <c r="AS83" s="590"/>
      <c r="AT83" s="612"/>
      <c r="AU83" s="612"/>
      <c r="AV83" s="587"/>
      <c r="AW83" s="588"/>
      <c r="AX83" s="8"/>
      <c r="AY83" s="3"/>
      <c r="AZ83" s="3"/>
      <c r="BA83" s="8"/>
    </row>
    <row x14ac:dyDescent="0.25" r="84" customHeight="1" ht="15">
      <c r="A84" s="614">
        <v>25569.042182893518</v>
      </c>
      <c r="B84" s="569">
        <f>IFERROR(INDEX(Tabelle2[BU],MATCH(tbl_DCFC[[#This Row], [Categorie]],CAT,0)),"")</f>
      </c>
      <c r="C84" s="615">
        <f>IF(D84&lt;&gt;"","S"&amp;TEXT(WEEKNUM(D84,21),"00"),"")</f>
      </c>
      <c r="D84" s="614">
        <v>25569.042182893518</v>
      </c>
      <c r="E84" s="599">
        <v>4722</v>
      </c>
      <c r="F84" s="602" t="s">
        <v>641</v>
      </c>
      <c r="G84" s="602" t="s">
        <v>862</v>
      </c>
      <c r="H84" s="602"/>
      <c r="I84" s="599">
        <v>500</v>
      </c>
      <c r="J84" s="602" t="s">
        <v>280</v>
      </c>
      <c r="K84" s="602" t="s">
        <v>548</v>
      </c>
      <c r="L84" s="616" t="s">
        <v>642</v>
      </c>
      <c r="M84" s="590"/>
      <c r="N84" s="3"/>
      <c r="O84" s="69">
        <f>IF(Data!$Q76="","",YEAR(Data!$Q76))</f>
      </c>
      <c r="P84" s="69">
        <f>IF(Data!$Q76="","",MONTH(Data!$Q76))</f>
      </c>
      <c r="Q84" s="637"/>
      <c r="R84" s="3"/>
      <c r="S84" s="8"/>
      <c r="T84" s="3"/>
      <c r="U84" s="3"/>
      <c r="V84" s="590"/>
      <c r="W84" s="31"/>
      <c r="X84" s="69">
        <f>IF(AC84&lt;&gt;"","S"&amp;TEXT(WEEKNUM(AC84,21),"00"),"")</f>
      </c>
      <c r="Y84" s="69">
        <f>IF(Data!$AC76="","",YEAR(Data!$AC76))</f>
      </c>
      <c r="Z84" s="69">
        <f>IF(Data!$AC76="","",MONTH(Data!$AC76))</f>
      </c>
      <c r="AA84" s="31"/>
      <c r="AB84" s="8"/>
      <c r="AC84" s="637"/>
      <c r="AD84" s="9"/>
      <c r="AE84" s="31"/>
      <c r="AF84" s="573"/>
      <c r="AG84" s="3"/>
      <c r="AH84" s="590"/>
      <c r="AI84" s="609">
        <v>1</v>
      </c>
      <c r="AJ84" s="610" t="s">
        <v>882</v>
      </c>
      <c r="AK84" s="590"/>
      <c r="AL84" s="3"/>
      <c r="AM84" s="590"/>
      <c r="AN84" s="602"/>
      <c r="AO84" s="590"/>
      <c r="AP84" s="610" t="s">
        <v>883</v>
      </c>
      <c r="AQ84" s="590"/>
      <c r="AR84" s="611"/>
      <c r="AS84" s="590"/>
      <c r="AT84" s="612"/>
      <c r="AU84" s="612"/>
      <c r="AV84" s="587"/>
      <c r="AW84" s="588"/>
      <c r="AX84" s="8"/>
      <c r="AY84" s="3"/>
      <c r="AZ84" s="3"/>
      <c r="BA84" s="8"/>
    </row>
    <row x14ac:dyDescent="0.25" r="85" customHeight="1" ht="15">
      <c r="A85" s="614">
        <v>25569.042182893518</v>
      </c>
      <c r="B85" s="569">
        <f>IFERROR(INDEX(Tabelle2[BU],MATCH(tbl_DCFC[[#This Row], [Categorie]],CAT,0)),"")</f>
      </c>
      <c r="C85" s="615">
        <f>IF(D85&lt;&gt;"","S"&amp;TEXT(WEEKNUM(D85,21),"00"),"")</f>
      </c>
      <c r="D85" s="614">
        <v>25569.042182893518</v>
      </c>
      <c r="E85" s="599">
        <v>4723</v>
      </c>
      <c r="F85" s="602" t="s">
        <v>641</v>
      </c>
      <c r="G85" s="602" t="s">
        <v>862</v>
      </c>
      <c r="H85" s="602"/>
      <c r="I85" s="599">
        <v>180</v>
      </c>
      <c r="J85" s="602" t="s">
        <v>280</v>
      </c>
      <c r="K85" s="602" t="s">
        <v>548</v>
      </c>
      <c r="L85" s="616" t="s">
        <v>642</v>
      </c>
      <c r="M85" s="590"/>
      <c r="N85" s="69">
        <f>IF(Q85&lt;&gt;"","S"&amp;TEXT(WEEKNUM(Q85,21),"00"),"")</f>
      </c>
      <c r="O85" s="69">
        <f>IF(Data!$Q77="","",YEAR(Data!$Q77))</f>
      </c>
      <c r="P85" s="69">
        <f>IF(Data!$Q77="","",MONTH(Data!$Q77))</f>
      </c>
      <c r="Q85" s="637"/>
      <c r="R85" s="3"/>
      <c r="S85" s="8"/>
      <c r="T85" s="3"/>
      <c r="U85" s="3"/>
      <c r="V85" s="590"/>
      <c r="W85" s="31"/>
      <c r="X85" s="69">
        <f>IF(AC85&lt;&gt;"","S"&amp;TEXT(WEEKNUM(AC85,21),"00"),"")</f>
      </c>
      <c r="Y85" s="69">
        <f>IF(Data!$AC77="","",YEAR(Data!$AC77))</f>
      </c>
      <c r="Z85" s="69">
        <f>IF(Data!$AC77="","",MONTH(Data!$AC77))</f>
      </c>
      <c r="AA85" s="31"/>
      <c r="AB85" s="8"/>
      <c r="AC85" s="637"/>
      <c r="AD85" s="9"/>
      <c r="AE85" s="31"/>
      <c r="AF85" s="573"/>
      <c r="AG85" s="3"/>
      <c r="AH85" s="590"/>
      <c r="AI85" s="609">
        <v>1</v>
      </c>
      <c r="AJ85" s="610" t="s">
        <v>884</v>
      </c>
      <c r="AK85" s="590"/>
      <c r="AL85" s="3" t="s">
        <v>885</v>
      </c>
      <c r="AM85" s="590"/>
      <c r="AN85" s="602"/>
      <c r="AO85" s="590"/>
      <c r="AP85" s="610" t="s">
        <v>886</v>
      </c>
      <c r="AQ85" s="590"/>
      <c r="AR85" s="611"/>
      <c r="AS85" s="590"/>
      <c r="AT85" s="612"/>
      <c r="AU85" s="612"/>
      <c r="AV85" s="587">
        <f>IF(AT85="","",S85-AT85-AU85)</f>
      </c>
      <c r="AW85" s="588">
        <f>IFERROR(IF(tbl_DCFC[[#This Row], [F Montant HT]]="","",tbl_DCFC[[#This Row], [Marge]]/tbl_DCFC[[#This Row], [F Montant HT]]),"")</f>
      </c>
      <c r="AX85" s="8"/>
      <c r="AY85" s="3"/>
      <c r="AZ85" s="3"/>
      <c r="BA85" s="8"/>
    </row>
    <row x14ac:dyDescent="0.25" r="86" customHeight="1" ht="15">
      <c r="A86" s="614">
        <v>25569.042182893518</v>
      </c>
      <c r="B86" s="569">
        <f>IFERROR(INDEX(Tabelle2[BU],MATCH(tbl_DCFC[[#This Row], [Categorie]],CAT,0)),"")</f>
      </c>
      <c r="C86" s="615">
        <f>IF(D86&lt;&gt;"","S"&amp;TEXT(WEEKNUM(D86,21),"00"),"")</f>
      </c>
      <c r="D86" s="614">
        <v>25569.042182893518</v>
      </c>
      <c r="E86" s="599">
        <v>4724</v>
      </c>
      <c r="F86" s="602" t="s">
        <v>641</v>
      </c>
      <c r="G86" s="602" t="s">
        <v>862</v>
      </c>
      <c r="H86" s="602"/>
      <c r="I86" s="599">
        <v>720</v>
      </c>
      <c r="J86" s="602" t="s">
        <v>280</v>
      </c>
      <c r="K86" s="602" t="s">
        <v>548</v>
      </c>
      <c r="L86" s="616" t="s">
        <v>642</v>
      </c>
      <c r="M86" s="590"/>
      <c r="N86" s="69">
        <f>IF(Q86&lt;&gt;"","S"&amp;TEXT(WEEKNUM(Q86,21),"00"),"")</f>
      </c>
      <c r="O86" s="69">
        <f>IF(Data!$Q78="","",YEAR(Data!$Q78))</f>
      </c>
      <c r="P86" s="69">
        <f>IF(Data!$Q78="","",MONTH(Data!$Q78))</f>
      </c>
      <c r="Q86" s="637"/>
      <c r="R86" s="3"/>
      <c r="S86" s="8"/>
      <c r="T86" s="3"/>
      <c r="U86" s="3"/>
      <c r="V86" s="590"/>
      <c r="W86" s="31"/>
      <c r="X86" s="69">
        <f>IF(AC86&lt;&gt;"","S"&amp;TEXT(WEEKNUM(AC86,21),"00"),"")</f>
      </c>
      <c r="Y86" s="69">
        <f>IF(Data!$AC78="","",YEAR(Data!$AC78))</f>
      </c>
      <c r="Z86" s="69">
        <f>IF(Data!$AC78="","",MONTH(Data!$AC78))</f>
      </c>
      <c r="AA86" s="31"/>
      <c r="AB86" s="8"/>
      <c r="AC86" s="637"/>
      <c r="AD86" s="9"/>
      <c r="AE86" s="31"/>
      <c r="AF86" s="573"/>
      <c r="AG86" s="3"/>
      <c r="AH86" s="590"/>
      <c r="AI86" s="609">
        <v>1</v>
      </c>
      <c r="AJ86" s="610" t="s">
        <v>887</v>
      </c>
      <c r="AK86" s="590"/>
      <c r="AL86" s="3" t="s">
        <v>871</v>
      </c>
      <c r="AM86" s="590"/>
      <c r="AN86" s="602"/>
      <c r="AO86" s="590"/>
      <c r="AP86" s="610" t="s">
        <v>888</v>
      </c>
      <c r="AQ86" s="590"/>
      <c r="AR86" s="611"/>
      <c r="AS86" s="590"/>
      <c r="AT86" s="612"/>
      <c r="AU86" s="612"/>
      <c r="AV86" s="587">
        <f>IF(AT86="","",S86-AT86-AU86)</f>
      </c>
      <c r="AW86" s="588">
        <f>IFERROR(IF(tbl_DCFC[[#This Row], [F Montant HT]]="","",tbl_DCFC[[#This Row], [Marge]]/tbl_DCFC[[#This Row], [F Montant HT]]),"")</f>
      </c>
      <c r="AX86" s="8"/>
      <c r="AY86" s="3"/>
      <c r="AZ86" s="3"/>
      <c r="BA86" s="8"/>
    </row>
    <row x14ac:dyDescent="0.25" r="87" customHeight="1" ht="15">
      <c r="A87" s="614">
        <v>25569.042182893518</v>
      </c>
      <c r="B87" s="569">
        <f>IFERROR(INDEX(Tabelle2[BU],MATCH(tbl_DCFC[[#This Row], [Categorie]],CAT,0)),"")</f>
      </c>
      <c r="C87" s="615">
        <f>IF(D87&lt;&gt;"","S"&amp;TEXT(WEEKNUM(D87,21),"00"),"")</f>
      </c>
      <c r="D87" s="614">
        <v>25569.042182939815</v>
      </c>
      <c r="E87" s="599">
        <v>4725</v>
      </c>
      <c r="F87" s="602" t="s">
        <v>641</v>
      </c>
      <c r="G87" s="602" t="s">
        <v>889</v>
      </c>
      <c r="H87" s="602"/>
      <c r="I87" s="599">
        <v>20081.2</v>
      </c>
      <c r="J87" s="602" t="s">
        <v>281</v>
      </c>
      <c r="K87" s="602" t="s">
        <v>553</v>
      </c>
      <c r="L87" s="616" t="s">
        <v>650</v>
      </c>
      <c r="M87" s="590"/>
      <c r="N87" s="69">
        <f>IF(Q87&lt;&gt;"","S"&amp;TEXT(WEEKNUM(Q87,21),"00"),"")</f>
      </c>
      <c r="O87" s="69">
        <f>IF(Data!$Q80="","",YEAR(Data!$Q80))</f>
      </c>
      <c r="P87" s="69">
        <f>IF(Data!$Q80="","",MONTH(Data!$Q80))</f>
      </c>
      <c r="Q87" s="637"/>
      <c r="R87" s="3"/>
      <c r="S87" s="8"/>
      <c r="T87" s="3"/>
      <c r="U87" s="3"/>
      <c r="V87" s="590"/>
      <c r="W87" s="31"/>
      <c r="X87" s="69">
        <f>IF(AC87&lt;&gt;"","S"&amp;TEXT(WEEKNUM(AC87,21),"00"),"")</f>
      </c>
      <c r="Y87" s="69">
        <f>IF(Data!$AC80="","",YEAR(Data!$AC80))</f>
      </c>
      <c r="Z87" s="69">
        <f>IF(Data!$AC80="","",MONTH(Data!$AC80))</f>
      </c>
      <c r="AA87" s="31"/>
      <c r="AB87" s="8"/>
      <c r="AC87" s="637"/>
      <c r="AD87" s="9"/>
      <c r="AE87" s="31"/>
      <c r="AF87" s="573"/>
      <c r="AG87" s="3"/>
      <c r="AH87" s="590"/>
      <c r="AI87" s="609">
        <v>1</v>
      </c>
      <c r="AJ87" s="610" t="s">
        <v>890</v>
      </c>
      <c r="AK87" s="590"/>
      <c r="AL87" s="3"/>
      <c r="AM87" s="590"/>
      <c r="AN87" s="602"/>
      <c r="AO87" s="590"/>
      <c r="AP87" s="610" t="s">
        <v>891</v>
      </c>
      <c r="AQ87" s="590"/>
      <c r="AR87" s="611"/>
      <c r="AS87" s="590"/>
      <c r="AT87" s="612"/>
      <c r="AU87" s="612"/>
      <c r="AV87" s="587">
        <f>IF(AT87="","",S87-AT87-AU87)</f>
      </c>
      <c r="AW87" s="588">
        <f>IFERROR(IF(tbl_DCFC[[#This Row], [F Montant HT]]="","",tbl_DCFC[[#This Row], [Marge]]/tbl_DCFC[[#This Row], [F Montant HT]]),"")</f>
      </c>
      <c r="AX87" s="8"/>
      <c r="AY87" s="3"/>
      <c r="AZ87" s="3"/>
      <c r="BA87" s="8"/>
    </row>
    <row x14ac:dyDescent="0.25" r="88" customHeight="1" ht="15">
      <c r="A88" s="614">
        <v>25569.042183287038</v>
      </c>
      <c r="B88" s="569">
        <f>IFERROR(INDEX(Tabelle2[BU],MATCH(tbl_DCFC[[#This Row], [Categorie]],CAT,0)),"")</f>
      </c>
      <c r="C88" s="615">
        <f>IF(D88&lt;&gt;"","S"&amp;TEXT(WEEKNUM(D88,21),"00"),"")</f>
      </c>
      <c r="D88" s="614">
        <v>25569.042183287038</v>
      </c>
      <c r="E88" s="599">
        <v>4725</v>
      </c>
      <c r="F88" s="602" t="s">
        <v>679</v>
      </c>
      <c r="G88" s="602" t="s">
        <v>889</v>
      </c>
      <c r="H88" s="602"/>
      <c r="I88" s="599">
        <v>17920</v>
      </c>
      <c r="J88" s="602" t="s">
        <v>281</v>
      </c>
      <c r="K88" s="602" t="s">
        <v>553</v>
      </c>
      <c r="L88" s="616" t="s">
        <v>642</v>
      </c>
      <c r="M88" s="590"/>
      <c r="N88" s="69">
        <f>IF(Q88&lt;&gt;"","S"&amp;TEXT(WEEKNUM(Q88,21),"00"),"")</f>
      </c>
      <c r="O88" s="69">
        <f>IF(Data!$Q121="","",YEAR(Data!$Q121))</f>
      </c>
      <c r="P88" s="69">
        <f>IF(Data!$Q121="","",MONTH(Data!$Q121))</f>
      </c>
      <c r="Q88" s="637"/>
      <c r="R88" s="3"/>
      <c r="S88" s="8"/>
      <c r="T88" s="3"/>
      <c r="U88" s="3"/>
      <c r="V88" s="590"/>
      <c r="W88" s="31"/>
      <c r="X88" s="69">
        <f>IF(AC88&lt;&gt;"","S"&amp;TEXT(WEEKNUM(AC88,21),"00"),"")</f>
      </c>
      <c r="Y88" s="69">
        <f>IF(Data!$AC121="","",YEAR(Data!$AC121))</f>
      </c>
      <c r="Z88" s="69">
        <f>IF(Data!$AC121="","",MONTH(Data!$AC121))</f>
      </c>
      <c r="AA88" s="31"/>
      <c r="AB88" s="8"/>
      <c r="AC88" s="637"/>
      <c r="AD88" s="9"/>
      <c r="AE88" s="31"/>
      <c r="AF88" s="573"/>
      <c r="AG88" s="3"/>
      <c r="AH88" s="590"/>
      <c r="AI88" s="609">
        <v>1</v>
      </c>
      <c r="AJ88" s="610" t="s">
        <v>890</v>
      </c>
      <c r="AK88" s="590"/>
      <c r="AL88" s="3"/>
      <c r="AM88" s="590"/>
      <c r="AN88" s="602"/>
      <c r="AO88" s="590"/>
      <c r="AP88" s="610" t="s">
        <v>891</v>
      </c>
      <c r="AQ88" s="590"/>
      <c r="AR88" s="611"/>
      <c r="AS88" s="590"/>
      <c r="AT88" s="612"/>
      <c r="AU88" s="612"/>
      <c r="AV88" s="587">
        <f>IF(AT88="","",S88-AT88-AU88)</f>
      </c>
      <c r="AW88" s="588">
        <f>IFERROR(IF(tbl_DCFC[[#This Row], [F Montant HT]]="","",tbl_DCFC[[#This Row], [Marge]]/tbl_DCFC[[#This Row], [F Montant HT]]),"")</f>
      </c>
      <c r="AX88" s="8"/>
      <c r="AY88" s="3"/>
      <c r="AZ88" s="3"/>
      <c r="BA88" s="8"/>
    </row>
    <row x14ac:dyDescent="0.25" r="89" customHeight="1" ht="15">
      <c r="A89" s="614">
        <v>25569.042182939815</v>
      </c>
      <c r="B89" s="569">
        <f>IFERROR(INDEX(Tabelle2[BU],MATCH(tbl_DCFC[[#This Row], [Categorie]],CAT,0)),"")</f>
      </c>
      <c r="C89" s="615">
        <f>IF(D89&lt;&gt;"","S"&amp;TEXT(WEEKNUM(D89,21),"00"),"")</f>
      </c>
      <c r="D89" s="614">
        <v>25569.042182939815</v>
      </c>
      <c r="E89" s="599">
        <v>4726</v>
      </c>
      <c r="F89" s="602" t="s">
        <v>641</v>
      </c>
      <c r="G89" s="602" t="s">
        <v>645</v>
      </c>
      <c r="H89" s="602" t="s">
        <v>803</v>
      </c>
      <c r="I89" s="599">
        <v>8628.2</v>
      </c>
      <c r="J89" s="602" t="s">
        <v>721</v>
      </c>
      <c r="K89" s="602" t="s">
        <v>548</v>
      </c>
      <c r="L89" s="616" t="s">
        <v>642</v>
      </c>
      <c r="M89" s="590"/>
      <c r="N89" s="69">
        <f>IF(Q89&lt;&gt;"","S"&amp;TEXT(WEEKNUM(Q89,21),"00"),"")</f>
      </c>
      <c r="O89" s="69">
        <f>IF(Data!$Q81="","",YEAR(Data!$Q81))</f>
      </c>
      <c r="P89" s="69">
        <f>IF(Data!$Q81="","",MONTH(Data!$Q81))</f>
      </c>
      <c r="Q89" s="637"/>
      <c r="R89" s="3"/>
      <c r="S89" s="8"/>
      <c r="T89" s="3"/>
      <c r="U89" s="3"/>
      <c r="V89" s="590"/>
      <c r="W89" s="31"/>
      <c r="X89" s="69">
        <f>IF(AC89&lt;&gt;"","S"&amp;TEXT(WEEKNUM(AC89,21),"00"),"")</f>
      </c>
      <c r="Y89" s="69">
        <f>IF(Data!$AC81="","",YEAR(Data!$AC81))</f>
      </c>
      <c r="Z89" s="69">
        <f>IF(Data!$AC81="","",MONTH(Data!$AC81))</f>
      </c>
      <c r="AA89" s="31"/>
      <c r="AB89" s="8"/>
      <c r="AC89" s="637"/>
      <c r="AD89" s="9"/>
      <c r="AE89" s="31"/>
      <c r="AF89" s="573"/>
      <c r="AG89" s="3"/>
      <c r="AH89" s="590"/>
      <c r="AI89" s="609">
        <v>2</v>
      </c>
      <c r="AJ89" s="610" t="s">
        <v>892</v>
      </c>
      <c r="AK89" s="590"/>
      <c r="AL89" s="3"/>
      <c r="AM89" s="590"/>
      <c r="AN89" s="602"/>
      <c r="AO89" s="590"/>
      <c r="AP89" s="610" t="s">
        <v>893</v>
      </c>
      <c r="AQ89" s="590"/>
      <c r="AR89" s="611"/>
      <c r="AS89" s="590"/>
      <c r="AT89" s="612"/>
      <c r="AU89" s="612"/>
      <c r="AV89" s="587">
        <f>IF(AT89="","",S89-AT89-AU89)</f>
      </c>
      <c r="AW89" s="588">
        <f>IFERROR(IF(tbl_DCFC[[#This Row], [F Montant HT]]="","",tbl_DCFC[[#This Row], [Marge]]/tbl_DCFC[[#This Row], [F Montant HT]]),"")</f>
      </c>
      <c r="AX89" s="8"/>
      <c r="AY89" s="3"/>
      <c r="AZ89" s="3"/>
      <c r="BA89" s="8"/>
    </row>
    <row x14ac:dyDescent="0.25" r="90" customHeight="1" ht="15">
      <c r="A90" s="614">
        <v>25569.042182951387</v>
      </c>
      <c r="B90" s="569">
        <f>IFERROR(INDEX(Tabelle2[BU],MATCH(tbl_DCFC[[#This Row], [Categorie]],CAT,0)),"")</f>
      </c>
      <c r="C90" s="615">
        <f>IF(D90&lt;&gt;"","S"&amp;TEXT(WEEKNUM(D90,21),"00"),"")</f>
      </c>
      <c r="D90" s="614">
        <v>25569.042182951387</v>
      </c>
      <c r="E90" s="599">
        <v>4727</v>
      </c>
      <c r="F90" s="602" t="s">
        <v>641</v>
      </c>
      <c r="G90" s="602" t="s">
        <v>827</v>
      </c>
      <c r="H90" s="602"/>
      <c r="I90" s="599">
        <v>3200</v>
      </c>
      <c r="J90" s="602" t="s">
        <v>280</v>
      </c>
      <c r="K90" s="602" t="s">
        <v>548</v>
      </c>
      <c r="L90" s="616" t="s">
        <v>642</v>
      </c>
      <c r="M90" s="590"/>
      <c r="N90" s="69">
        <f>IF(Q90&lt;&gt;"","S"&amp;TEXT(WEEKNUM(Q90,21),"00"),"")</f>
      </c>
      <c r="O90" s="69">
        <f>IF(Data!$Q82="","",YEAR(Data!$Q82))</f>
      </c>
      <c r="P90" s="69">
        <f>IF(Data!$Q82="","",MONTH(Data!$Q82))</f>
      </c>
      <c r="Q90" s="637"/>
      <c r="R90" s="3"/>
      <c r="S90" s="8"/>
      <c r="T90" s="3"/>
      <c r="U90" s="3"/>
      <c r="V90" s="590"/>
      <c r="W90" s="31"/>
      <c r="X90" s="69">
        <f>IF(AC90&lt;&gt;"","S"&amp;TEXT(WEEKNUM(AC90,21),"00"),"")</f>
      </c>
      <c r="Y90" s="69">
        <f>IF(Data!$AC82="","",YEAR(Data!$AC82))</f>
      </c>
      <c r="Z90" s="69">
        <f>IF(Data!$AC82="","",MONTH(Data!$AC82))</f>
      </c>
      <c r="AA90" s="31"/>
      <c r="AB90" s="8"/>
      <c r="AC90" s="637"/>
      <c r="AD90" s="9"/>
      <c r="AE90" s="31"/>
      <c r="AF90" s="573"/>
      <c r="AG90" s="3"/>
      <c r="AH90" s="590"/>
      <c r="AI90" s="609">
        <v>1</v>
      </c>
      <c r="AJ90" s="610" t="s">
        <v>894</v>
      </c>
      <c r="AK90" s="590"/>
      <c r="AL90" s="3"/>
      <c r="AM90" s="590"/>
      <c r="AN90" s="602"/>
      <c r="AO90" s="590"/>
      <c r="AP90" s="610" t="s">
        <v>895</v>
      </c>
      <c r="AQ90" s="590"/>
      <c r="AR90" s="611"/>
      <c r="AS90" s="590"/>
      <c r="AT90" s="612"/>
      <c r="AU90" s="612"/>
      <c r="AV90" s="587"/>
      <c r="AW90" s="588"/>
      <c r="AX90" s="8"/>
      <c r="AY90" s="3"/>
      <c r="AZ90" s="3"/>
      <c r="BA90" s="8"/>
    </row>
    <row x14ac:dyDescent="0.25" r="91" customHeight="1" ht="15">
      <c r="A91" s="614">
        <v>25569.042182951387</v>
      </c>
      <c r="B91" s="569">
        <f>IFERROR(INDEX(Tabelle2[BU],MATCH(tbl_DCFC[[#This Row], [Categorie]],CAT,0)),"")</f>
      </c>
      <c r="C91" s="615">
        <f>IF(D91&lt;&gt;"","S"&amp;TEXT(WEEKNUM(D91,21),"00"),"")</f>
      </c>
      <c r="D91" s="614">
        <v>25569.042182951387</v>
      </c>
      <c r="E91" s="599">
        <v>4728</v>
      </c>
      <c r="F91" s="602" t="s">
        <v>641</v>
      </c>
      <c r="G91" s="602" t="s">
        <v>876</v>
      </c>
      <c r="H91" s="602"/>
      <c r="I91" s="599">
        <v>6771</v>
      </c>
      <c r="J91" s="602" t="s">
        <v>281</v>
      </c>
      <c r="K91" s="602" t="s">
        <v>548</v>
      </c>
      <c r="L91" s="616" t="s">
        <v>646</v>
      </c>
      <c r="M91" s="590"/>
      <c r="N91" s="69">
        <f>IF(Q91&lt;&gt;"","S"&amp;TEXT(WEEKNUM(Q91,21),"00"),"")</f>
      </c>
      <c r="O91" s="69">
        <f>IF(Data!$Q85="","",YEAR(Data!$Q85))</f>
      </c>
      <c r="P91" s="69">
        <f>IF(Data!$Q85="","",MONTH(Data!$Q85))</f>
      </c>
      <c r="Q91" s="43">
        <v>25569.042182974536</v>
      </c>
      <c r="R91" s="3" t="s">
        <v>896</v>
      </c>
      <c r="S91" s="9">
        <v>6771</v>
      </c>
      <c r="T91" s="3"/>
      <c r="U91" s="3"/>
      <c r="V91" s="590"/>
      <c r="W91" s="31"/>
      <c r="X91" s="69">
        <f>IF(AC91&lt;&gt;"","S"&amp;TEXT(WEEKNUM(AC91,21),"00"),"")</f>
      </c>
      <c r="Y91" s="69">
        <f>IF(Data!$AC85="","",YEAR(Data!$AC85))</f>
      </c>
      <c r="Z91" s="69">
        <f>IF(Data!$AC85="","",MONTH(Data!$AC85))</f>
      </c>
      <c r="AA91" s="31"/>
      <c r="AB91" s="8"/>
      <c r="AC91" s="637"/>
      <c r="AD91" s="9"/>
      <c r="AE91" s="43">
        <v>25569.042183599537</v>
      </c>
      <c r="AF91" s="573"/>
      <c r="AG91" s="3"/>
      <c r="AH91" s="590"/>
      <c r="AI91" s="609">
        <v>4</v>
      </c>
      <c r="AJ91" s="610" t="s">
        <v>897</v>
      </c>
      <c r="AK91" s="590"/>
      <c r="AL91" s="3" t="s">
        <v>898</v>
      </c>
      <c r="AM91" s="590"/>
      <c r="AN91" s="602"/>
      <c r="AO91" s="590"/>
      <c r="AP91" s="610" t="s">
        <v>899</v>
      </c>
      <c r="AQ91" s="590"/>
      <c r="AR91" s="611"/>
      <c r="AS91" s="590"/>
      <c r="AT91" s="612"/>
      <c r="AU91" s="612"/>
      <c r="AV91" s="587"/>
      <c r="AW91" s="588"/>
      <c r="AX91" s="8"/>
      <c r="AY91" s="3"/>
      <c r="AZ91" s="3"/>
      <c r="BA91" s="8"/>
    </row>
    <row x14ac:dyDescent="0.25" r="92" customHeight="1" ht="15">
      <c r="A92" s="614">
        <v>25569.042182962963</v>
      </c>
      <c r="B92" s="569">
        <f>IFERROR(INDEX(Tabelle2[BU],MATCH(tbl_DCFC[[#This Row], [Categorie]],CAT,0)),"")</f>
      </c>
      <c r="C92" s="615">
        <f>IF(D92&lt;&gt;"","S"&amp;TEXT(WEEKNUM(D92,21),"00"),"")</f>
      </c>
      <c r="D92" s="614">
        <v>25569.042182962963</v>
      </c>
      <c r="E92" s="599">
        <v>4729</v>
      </c>
      <c r="F92" s="602" t="s">
        <v>641</v>
      </c>
      <c r="G92" s="602" t="s">
        <v>336</v>
      </c>
      <c r="H92" s="602"/>
      <c r="I92" s="599">
        <v>1060</v>
      </c>
      <c r="J92" s="602" t="s">
        <v>721</v>
      </c>
      <c r="K92" s="602" t="s">
        <v>544</v>
      </c>
      <c r="L92" s="616" t="s">
        <v>646</v>
      </c>
      <c r="M92" s="590"/>
      <c r="N92" s="69">
        <f>IF(Q92&lt;&gt;"","S"&amp;TEXT(WEEKNUM(Q92,21),"00"),"")</f>
      </c>
      <c r="O92" s="69">
        <f>IF(Data!$Q86="","",YEAR(Data!$Q86))</f>
      </c>
      <c r="P92" s="69">
        <f>IF(Data!$Q86="","",MONTH(Data!$Q86))</f>
      </c>
      <c r="Q92" s="43">
        <v>25569.04218318287</v>
      </c>
      <c r="R92" s="3" t="s">
        <v>900</v>
      </c>
      <c r="S92" s="9">
        <v>1060</v>
      </c>
      <c r="T92" s="3"/>
      <c r="U92" s="3"/>
      <c r="V92" s="590"/>
      <c r="W92" s="43">
        <v>25569.042183125</v>
      </c>
      <c r="X92" s="69">
        <f>IF(AC92&lt;&gt;"","S"&amp;TEXT(WEEKNUM(AC92,21),"00"),"")</f>
      </c>
      <c r="Y92" s="69">
        <f>IF(Data!$AC86="","",YEAR(Data!$AC86))</f>
      </c>
      <c r="Z92" s="69">
        <f>IF(Data!$AC86="","",MONTH(Data!$AC86))</f>
      </c>
      <c r="AA92" s="31"/>
      <c r="AB92" s="8"/>
      <c r="AC92" s="637"/>
      <c r="AD92" s="9"/>
      <c r="AE92" s="43">
        <v>25569.04218394676</v>
      </c>
      <c r="AF92" s="573"/>
      <c r="AG92" s="3"/>
      <c r="AH92" s="590"/>
      <c r="AI92" s="609">
        <v>2</v>
      </c>
      <c r="AJ92" s="610" t="s">
        <v>745</v>
      </c>
      <c r="AK92" s="590"/>
      <c r="AL92" s="3" t="s">
        <v>901</v>
      </c>
      <c r="AM92" s="590"/>
      <c r="AN92" s="602"/>
      <c r="AO92" s="590"/>
      <c r="AP92" s="610" t="s">
        <v>902</v>
      </c>
      <c r="AQ92" s="590"/>
      <c r="AR92" s="611"/>
      <c r="AS92" s="590"/>
      <c r="AT92" s="612">
        <v>494.4</v>
      </c>
      <c r="AU92" s="612"/>
      <c r="AV92" s="587"/>
      <c r="AW92" s="588"/>
      <c r="AX92" s="8"/>
      <c r="AY92" s="3"/>
      <c r="AZ92" s="3"/>
      <c r="BA92" s="8"/>
    </row>
    <row x14ac:dyDescent="0.25" r="93" customHeight="1" ht="15">
      <c r="A93" s="614">
        <v>25569.042182962963</v>
      </c>
      <c r="B93" s="569">
        <f>IFERROR(INDEX(Tabelle2[BU],MATCH(tbl_DCFC[[#This Row], [Categorie]],CAT,0)),"")</f>
      </c>
      <c r="C93" s="615">
        <f>IF(D93&lt;&gt;"","S"&amp;TEXT(WEEKNUM(D93,21),"00"),"")</f>
      </c>
      <c r="D93" s="614">
        <v>25569.042182962963</v>
      </c>
      <c r="E93" s="599">
        <v>4729</v>
      </c>
      <c r="F93" s="602" t="s">
        <v>641</v>
      </c>
      <c r="G93" s="602" t="s">
        <v>336</v>
      </c>
      <c r="H93" s="602"/>
      <c r="I93" s="599">
        <v>1590</v>
      </c>
      <c r="J93" s="602"/>
      <c r="K93" s="602" t="s">
        <v>544</v>
      </c>
      <c r="L93" s="616" t="s">
        <v>646</v>
      </c>
      <c r="M93" s="590"/>
      <c r="N93" s="69">
        <f>IF(Q93&lt;&gt;"","S"&amp;TEXT(WEEKNUM(Q93,21),"00"),"")</f>
      </c>
      <c r="O93" s="69">
        <f>IF(Data!$Q124="","",YEAR(Data!$Q124))</f>
      </c>
      <c r="P93" s="69">
        <f>IF(Data!$Q124="","",MONTH(Data!$Q124))</f>
      </c>
      <c r="Q93" s="43">
        <v>25569.04218318287</v>
      </c>
      <c r="R93" s="3" t="s">
        <v>900</v>
      </c>
      <c r="S93" s="9">
        <v>1590</v>
      </c>
      <c r="T93" s="3"/>
      <c r="U93" s="3"/>
      <c r="V93" s="590"/>
      <c r="W93" s="43">
        <v>25569.042183125</v>
      </c>
      <c r="X93" s="69">
        <f>IF(AC93&lt;&gt;"","S"&amp;TEXT(WEEKNUM(AC93,21),"00"),"")</f>
      </c>
      <c r="Y93" s="69">
        <f>IF(Data!$AC124="","",YEAR(Data!$AC124))</f>
      </c>
      <c r="Z93" s="69">
        <f>IF(Data!$AC124="","",MONTH(Data!$AC124))</f>
      </c>
      <c r="AA93" s="43">
        <v>25569.042183379628</v>
      </c>
      <c r="AB93" s="9">
        <v>5222</v>
      </c>
      <c r="AC93" s="43">
        <v>25569.042183391204</v>
      </c>
      <c r="AD93" s="9">
        <v>1590</v>
      </c>
      <c r="AE93" s="31"/>
      <c r="AF93" s="573"/>
      <c r="AG93" s="3"/>
      <c r="AH93" s="590"/>
      <c r="AI93" s="609">
        <v>3</v>
      </c>
      <c r="AJ93" s="610" t="s">
        <v>745</v>
      </c>
      <c r="AK93" s="590"/>
      <c r="AL93" s="3" t="s">
        <v>903</v>
      </c>
      <c r="AM93" s="590"/>
      <c r="AN93" s="602"/>
      <c r="AO93" s="590"/>
      <c r="AP93" s="610" t="s">
        <v>902</v>
      </c>
      <c r="AQ93" s="590"/>
      <c r="AR93" s="611"/>
      <c r="AS93" s="590"/>
      <c r="AT93" s="612">
        <v>494.4</v>
      </c>
      <c r="AU93" s="612"/>
      <c r="AV93" s="587">
        <f>IF(AT93="","",S93-AT93-AU93)</f>
      </c>
      <c r="AW93" s="588">
        <f>IFERROR(IF(tbl_DCFC[[#This Row], [F Montant HT]]="","",tbl_DCFC[[#This Row], [Marge]]/tbl_DCFC[[#This Row], [F Montant HT]]),"")</f>
      </c>
      <c r="AX93" s="8"/>
      <c r="AY93" s="3"/>
      <c r="AZ93" s="3"/>
      <c r="BA93" s="8"/>
    </row>
    <row x14ac:dyDescent="0.25" r="94" customHeight="1" ht="15">
      <c r="A94" s="614">
        <v>25569.042182962963</v>
      </c>
      <c r="B94" s="569">
        <f>IFERROR(INDEX(Tabelle2[BU],MATCH(tbl_DCFC[[#This Row], [Categorie]],CAT,0)),"")</f>
      </c>
      <c r="C94" s="615">
        <f>IF(D94&lt;&gt;"","S"&amp;TEXT(WEEKNUM(D94,21),"00"),"")</f>
      </c>
      <c r="D94" s="614">
        <v>25569.042182962963</v>
      </c>
      <c r="E94" s="599">
        <v>4730</v>
      </c>
      <c r="F94" s="602" t="s">
        <v>641</v>
      </c>
      <c r="G94" s="602" t="s">
        <v>336</v>
      </c>
      <c r="H94" s="602"/>
      <c r="I94" s="599">
        <v>1200</v>
      </c>
      <c r="J94" s="602" t="s">
        <v>721</v>
      </c>
      <c r="K94" s="602" t="s">
        <v>544</v>
      </c>
      <c r="L94" s="616" t="s">
        <v>646</v>
      </c>
      <c r="M94" s="590"/>
      <c r="N94" s="69">
        <f>IF(Q94&lt;&gt;"","S"&amp;TEXT(WEEKNUM(Q94,21),"00"),"")</f>
      </c>
      <c r="O94" s="69">
        <f>IF(Data!$Q87="","",YEAR(Data!$Q87))</f>
      </c>
      <c r="P94" s="69">
        <f>IF(Data!$Q87="","",MONTH(Data!$Q87))</f>
      </c>
      <c r="Q94" s="43">
        <v>25569.04218346065</v>
      </c>
      <c r="R94" s="3" t="s">
        <v>904</v>
      </c>
      <c r="S94" s="9">
        <v>1200</v>
      </c>
      <c r="T94" s="3"/>
      <c r="U94" s="3"/>
      <c r="V94" s="590"/>
      <c r="W94" s="43">
        <v>25569.042183125</v>
      </c>
      <c r="X94" s="69">
        <f>IF(AC94&lt;&gt;"","S"&amp;TEXT(WEEKNUM(AC94,21),"00"),"")</f>
      </c>
      <c r="Y94" s="69">
        <f>IF(Data!$AC87="","",YEAR(Data!$AC87))</f>
      </c>
      <c r="Z94" s="69">
        <f>IF(Data!$AC87="","",MONTH(Data!$AC87))</f>
      </c>
      <c r="AA94" s="43">
        <v>25569.042183506943</v>
      </c>
      <c r="AB94" s="9">
        <v>5230</v>
      </c>
      <c r="AC94" s="43">
        <v>25569.04218353009</v>
      </c>
      <c r="AD94" s="9">
        <v>1200</v>
      </c>
      <c r="AE94" s="43">
        <v>25569.04218377315</v>
      </c>
      <c r="AF94" s="573"/>
      <c r="AG94" s="3"/>
      <c r="AH94" s="590"/>
      <c r="AI94" s="609">
        <v>2</v>
      </c>
      <c r="AJ94" s="610" t="s">
        <v>750</v>
      </c>
      <c r="AK94" s="590"/>
      <c r="AL94" s="3" t="s">
        <v>905</v>
      </c>
      <c r="AM94" s="590"/>
      <c r="AN94" s="602"/>
      <c r="AO94" s="590"/>
      <c r="AP94" s="610" t="s">
        <v>906</v>
      </c>
      <c r="AQ94" s="590"/>
      <c r="AR94" s="611"/>
      <c r="AS94" s="590"/>
      <c r="AT94" s="612"/>
      <c r="AU94" s="612"/>
      <c r="AV94" s="587"/>
      <c r="AW94" s="588"/>
      <c r="AX94" s="8"/>
      <c r="AY94" s="3"/>
      <c r="AZ94" s="3"/>
      <c r="BA94" s="8"/>
    </row>
    <row x14ac:dyDescent="0.25" r="95" customHeight="1" ht="15">
      <c r="A95" s="614">
        <v>25569.042182962963</v>
      </c>
      <c r="B95" s="569">
        <f>IFERROR(INDEX(Tabelle2[BU],MATCH(tbl_DCFC[[#This Row], [Categorie]],CAT,0)),"")</f>
      </c>
      <c r="C95" s="615">
        <f>IF(D95&lt;&gt;"","S"&amp;TEXT(WEEKNUM(D95,21),"00"),"")</f>
      </c>
      <c r="D95" s="614">
        <v>25569.042182962963</v>
      </c>
      <c r="E95" s="599">
        <v>4731</v>
      </c>
      <c r="F95" s="602" t="s">
        <v>641</v>
      </c>
      <c r="G95" s="602" t="s">
        <v>907</v>
      </c>
      <c r="H95" s="602"/>
      <c r="I95" s="599">
        <v>20580</v>
      </c>
      <c r="J95" s="602" t="s">
        <v>280</v>
      </c>
      <c r="K95" s="602" t="s">
        <v>548</v>
      </c>
      <c r="L95" s="616" t="s">
        <v>642</v>
      </c>
      <c r="M95" s="590"/>
      <c r="N95" s="69">
        <f>IF(Q95&lt;&gt;"","S"&amp;TEXT(WEEKNUM(Q95,21),"00"),"")</f>
      </c>
      <c r="O95" s="69">
        <f>IF(Data!$Q88="","",YEAR(Data!$Q88))</f>
      </c>
      <c r="P95" s="69">
        <f>IF(Data!$Q88="","",MONTH(Data!$Q88))</f>
      </c>
      <c r="Q95" s="637"/>
      <c r="R95" s="3"/>
      <c r="S95" s="8"/>
      <c r="T95" s="3"/>
      <c r="U95" s="3"/>
      <c r="V95" s="590"/>
      <c r="W95" s="31"/>
      <c r="X95" s="69">
        <f>IF(AC95&lt;&gt;"","S"&amp;TEXT(WEEKNUM(AC95,21),"00"),"")</f>
      </c>
      <c r="Y95" s="69">
        <f>IF(Data!$AC88="","",YEAR(Data!$AC88))</f>
      </c>
      <c r="Z95" s="69">
        <f>IF(Data!$AC88="","",MONTH(Data!$AC88))</f>
      </c>
      <c r="AA95" s="31"/>
      <c r="AB95" s="8"/>
      <c r="AC95" s="637"/>
      <c r="AD95" s="9"/>
      <c r="AE95" s="31"/>
      <c r="AF95" s="573"/>
      <c r="AG95" s="3"/>
      <c r="AH95" s="590"/>
      <c r="AI95" s="609">
        <v>1</v>
      </c>
      <c r="AJ95" s="610" t="s">
        <v>908</v>
      </c>
      <c r="AK95" s="590"/>
      <c r="AL95" s="3"/>
      <c r="AM95" s="590"/>
      <c r="AN95" s="602"/>
      <c r="AO95" s="590"/>
      <c r="AP95" s="610" t="s">
        <v>909</v>
      </c>
      <c r="AQ95" s="590"/>
      <c r="AR95" s="611"/>
      <c r="AS95" s="590"/>
      <c r="AT95" s="612"/>
      <c r="AU95" s="612"/>
      <c r="AV95" s="587"/>
      <c r="AW95" s="588"/>
      <c r="AX95" s="8"/>
      <c r="AY95" s="3"/>
      <c r="AZ95" s="3"/>
      <c r="BA95" s="8"/>
    </row>
    <row x14ac:dyDescent="0.25" r="96" customHeight="1" ht="15">
      <c r="A96" s="614">
        <v>25569.042182974536</v>
      </c>
      <c r="B96" s="569">
        <f>IFERROR(INDEX(Tabelle2[BU],MATCH(tbl_DCFC[[#This Row], [Categorie]],CAT,0)),"")</f>
      </c>
      <c r="C96" s="615">
        <f>IF(D96&lt;&gt;"","S"&amp;TEXT(WEEKNUM(D96,21),"00"),"")</f>
      </c>
      <c r="D96" s="614">
        <v>25569.042182974536</v>
      </c>
      <c r="E96" s="599">
        <v>4732</v>
      </c>
      <c r="F96" s="602" t="s">
        <v>641</v>
      </c>
      <c r="G96" s="602" t="s">
        <v>862</v>
      </c>
      <c r="H96" s="602"/>
      <c r="I96" s="599"/>
      <c r="J96" s="602" t="s">
        <v>280</v>
      </c>
      <c r="K96" s="602" t="s">
        <v>548</v>
      </c>
      <c r="L96" s="616" t="s">
        <v>650</v>
      </c>
      <c r="M96" s="590"/>
      <c r="N96" s="69">
        <f>IF(Q96&lt;&gt;"","S"&amp;TEXT(WEEKNUM(Q96,21),"00"),"")</f>
      </c>
      <c r="O96" s="69">
        <f>IF(Data!$Q89="","",YEAR(Data!$Q89))</f>
      </c>
      <c r="P96" s="69">
        <f>IF(Data!$Q89="","",MONTH(Data!$Q89))</f>
      </c>
      <c r="Q96" s="637"/>
      <c r="R96" s="3"/>
      <c r="S96" s="8"/>
      <c r="T96" s="3"/>
      <c r="U96" s="3"/>
      <c r="V96" s="590"/>
      <c r="W96" s="31"/>
      <c r="X96" s="69">
        <f>IF(AC96&lt;&gt;"","S"&amp;TEXT(WEEKNUM(AC96,21),"00"),"")</f>
      </c>
      <c r="Y96" s="69">
        <f>IF(Data!$AC89="","",YEAR(Data!$AC89))</f>
      </c>
      <c r="Z96" s="69">
        <f>IF(Data!$AC89="","",MONTH(Data!$AC89))</f>
      </c>
      <c r="AA96" s="31"/>
      <c r="AB96" s="8"/>
      <c r="AC96" s="637"/>
      <c r="AD96" s="9"/>
      <c r="AE96" s="31"/>
      <c r="AF96" s="573"/>
      <c r="AG96" s="3"/>
      <c r="AH96" s="590"/>
      <c r="AI96" s="609">
        <v>1</v>
      </c>
      <c r="AJ96" s="610" t="s">
        <v>887</v>
      </c>
      <c r="AK96" s="590"/>
      <c r="AL96" s="3" t="s">
        <v>910</v>
      </c>
      <c r="AM96" s="590"/>
      <c r="AN96" s="602"/>
      <c r="AO96" s="590"/>
      <c r="AP96" s="610" t="s">
        <v>911</v>
      </c>
      <c r="AQ96" s="590"/>
      <c r="AR96" s="611"/>
      <c r="AS96" s="590"/>
      <c r="AT96" s="612"/>
      <c r="AU96" s="612"/>
      <c r="AV96" s="587">
        <f>IF(AT96="","",S96-AT96-AU96)</f>
      </c>
      <c r="AW96" s="588">
        <f>IFERROR(IF(tbl_DCFC[[#This Row], [F Montant HT]]="","",tbl_DCFC[[#This Row], [Marge]]/tbl_DCFC[[#This Row], [F Montant HT]]),"")</f>
      </c>
      <c r="AX96" s="8"/>
      <c r="AY96" s="3"/>
      <c r="AZ96" s="3"/>
      <c r="BA96" s="8"/>
    </row>
    <row x14ac:dyDescent="0.25" r="97" customHeight="1" ht="15">
      <c r="A97" s="614">
        <v>25569.042182974536</v>
      </c>
      <c r="B97" s="569">
        <f>IFERROR(INDEX(Tabelle2[BU],MATCH(tbl_DCFC[[#This Row], [Categorie]],CAT,0)),"")</f>
      </c>
      <c r="C97" s="615">
        <f>IF(D97&lt;&gt;"","S"&amp;TEXT(WEEKNUM(D97,21),"00"),"")</f>
      </c>
      <c r="D97" s="614">
        <v>25569.042182974536</v>
      </c>
      <c r="E97" s="599">
        <v>4733</v>
      </c>
      <c r="F97" s="602" t="s">
        <v>641</v>
      </c>
      <c r="G97" s="602" t="s">
        <v>876</v>
      </c>
      <c r="H97" s="602"/>
      <c r="I97" s="599">
        <v>460</v>
      </c>
      <c r="J97" s="602" t="s">
        <v>281</v>
      </c>
      <c r="K97" s="602" t="s">
        <v>548</v>
      </c>
      <c r="L97" s="616" t="s">
        <v>646</v>
      </c>
      <c r="M97" s="590"/>
      <c r="N97" s="69">
        <f>IF(Q97&lt;&gt;"","S"&amp;TEXT(WEEKNUM(Q97,21),"00"),"")</f>
      </c>
      <c r="O97" s="69">
        <f>IF(Data!$Q91="","",YEAR(Data!$Q91))</f>
      </c>
      <c r="P97" s="69">
        <f>IF(Data!$Q91="","",MONTH(Data!$Q91))</f>
      </c>
      <c r="Q97" s="43">
        <v>25569.042182974536</v>
      </c>
      <c r="R97" s="3" t="s">
        <v>912</v>
      </c>
      <c r="S97" s="9">
        <v>460</v>
      </c>
      <c r="T97" s="3"/>
      <c r="U97" s="3"/>
      <c r="V97" s="590"/>
      <c r="W97" s="43">
        <v>25569.04218303241</v>
      </c>
      <c r="X97" s="69">
        <f>IF(AC97&lt;&gt;"","S"&amp;TEXT(WEEKNUM(AC97,21),"00"),"")</f>
      </c>
      <c r="Y97" s="69">
        <f>IF(Data!$AC91="","",YEAR(Data!$AC91))</f>
      </c>
      <c r="Z97" s="69">
        <f>IF(Data!$AC91="","",MONTH(Data!$AC91))</f>
      </c>
      <c r="AA97" s="43">
        <v>25569.042183055557</v>
      </c>
      <c r="AB97" s="9">
        <v>5207</v>
      </c>
      <c r="AC97" s="43">
        <v>25569.04218306713</v>
      </c>
      <c r="AD97" s="9">
        <v>460</v>
      </c>
      <c r="AE97" s="31"/>
      <c r="AF97" s="573"/>
      <c r="AG97" s="3"/>
      <c r="AH97" s="590"/>
      <c r="AI97" s="609">
        <v>1</v>
      </c>
      <c r="AJ97" s="610" t="s">
        <v>913</v>
      </c>
      <c r="AK97" s="590"/>
      <c r="AL97" s="3" t="s">
        <v>914</v>
      </c>
      <c r="AM97" s="590"/>
      <c r="AN97" s="602"/>
      <c r="AO97" s="590"/>
      <c r="AP97" s="610" t="s">
        <v>915</v>
      </c>
      <c r="AQ97" s="590"/>
      <c r="AR97" s="611"/>
      <c r="AS97" s="590"/>
      <c r="AT97" s="612">
        <v>37.64</v>
      </c>
      <c r="AU97" s="612">
        <v>271.82</v>
      </c>
      <c r="AV97" s="587">
        <f>IF(AT97="","",S97-AT97-AU97)</f>
      </c>
      <c r="AW97" s="588">
        <f>IFERROR(IF(tbl_DCFC[[#This Row], [F Montant HT]]="","",tbl_DCFC[[#This Row], [Marge]]/tbl_DCFC[[#This Row], [F Montant HT]]),"")</f>
      </c>
      <c r="AX97" s="8"/>
      <c r="AY97" s="3"/>
      <c r="AZ97" s="3"/>
      <c r="BA97" s="8"/>
    </row>
    <row x14ac:dyDescent="0.25" r="98" customHeight="1" ht="15">
      <c r="A98" s="614">
        <v>25569.042182974536</v>
      </c>
      <c r="B98" s="569">
        <f>IFERROR(INDEX(Tabelle2[BU],MATCH(tbl_DCFC[[#This Row], [Categorie]],CAT,0)),"")</f>
      </c>
      <c r="C98" s="615">
        <f>IF(D98&lt;&gt;"","S"&amp;TEXT(WEEKNUM(D98,21),"00"),"")</f>
      </c>
      <c r="D98" s="614">
        <v>25569.042182974536</v>
      </c>
      <c r="E98" s="599">
        <v>4733</v>
      </c>
      <c r="F98" s="602" t="s">
        <v>641</v>
      </c>
      <c r="G98" s="602" t="s">
        <v>876</v>
      </c>
      <c r="H98" s="602"/>
      <c r="I98" s="599">
        <v>90</v>
      </c>
      <c r="J98" s="602" t="s">
        <v>281</v>
      </c>
      <c r="K98" s="602" t="s">
        <v>548</v>
      </c>
      <c r="L98" s="616" t="s">
        <v>646</v>
      </c>
      <c r="M98" s="590"/>
      <c r="N98" s="69">
        <f>IF(Q98&lt;&gt;"","S"&amp;TEXT(WEEKNUM(Q98,21),"00"),"")</f>
      </c>
      <c r="O98" s="69">
        <f>IF(Data!$Q92="","",YEAR(Data!$Q92))</f>
      </c>
      <c r="P98" s="69">
        <f>IF(Data!$Q92="","",MONTH(Data!$Q92))</f>
      </c>
      <c r="Q98" s="43">
        <v>25569.042182974536</v>
      </c>
      <c r="R98" s="3" t="s">
        <v>912</v>
      </c>
      <c r="S98" s="9">
        <v>90</v>
      </c>
      <c r="T98" s="3"/>
      <c r="U98" s="3"/>
      <c r="V98" s="590"/>
      <c r="W98" s="43">
        <v>25569.04218303241</v>
      </c>
      <c r="X98" s="69">
        <f>IF(AC98&lt;&gt;"","S"&amp;TEXT(WEEKNUM(AC98,21),"00"),"")</f>
      </c>
      <c r="Y98" s="69">
        <f>IF(Data!$AC92="","",YEAR(Data!$AC92))</f>
      </c>
      <c r="Z98" s="69">
        <f>IF(Data!$AC92="","",MONTH(Data!$AC92))</f>
      </c>
      <c r="AA98" s="43">
        <v>25569.042183217593</v>
      </c>
      <c r="AB98" s="9">
        <v>5213</v>
      </c>
      <c r="AC98" s="43">
        <v>25569.04218326389</v>
      </c>
      <c r="AD98" s="9">
        <v>90</v>
      </c>
      <c r="AE98" s="31"/>
      <c r="AF98" s="573"/>
      <c r="AG98" s="3"/>
      <c r="AH98" s="590"/>
      <c r="AI98" s="609">
        <v>1</v>
      </c>
      <c r="AJ98" s="610" t="s">
        <v>916</v>
      </c>
      <c r="AK98" s="590"/>
      <c r="AL98" s="3"/>
      <c r="AM98" s="590"/>
      <c r="AN98" s="602"/>
      <c r="AO98" s="590"/>
      <c r="AP98" s="610" t="s">
        <v>915</v>
      </c>
      <c r="AQ98" s="590"/>
      <c r="AR98" s="611"/>
      <c r="AS98" s="590"/>
      <c r="AT98" s="612">
        <v>7.36</v>
      </c>
      <c r="AU98" s="612">
        <v>53.18</v>
      </c>
      <c r="AV98" s="587">
        <f>IF(AT98="","",S98-AT98-AU98)</f>
      </c>
      <c r="AW98" s="588">
        <f>IFERROR(IF(tbl_DCFC[[#This Row], [F Montant HT]]="","",tbl_DCFC[[#This Row], [Marge]]/tbl_DCFC[[#This Row], [F Montant HT]]),"")</f>
      </c>
      <c r="AX98" s="8"/>
      <c r="AY98" s="3"/>
      <c r="AZ98" s="3"/>
      <c r="BA98" s="8"/>
    </row>
    <row x14ac:dyDescent="0.25" r="99" customHeight="1" ht="15">
      <c r="A99" s="614">
        <v>25569.042182974536</v>
      </c>
      <c r="B99" s="569">
        <f>IFERROR(INDEX(Tabelle2[BU],MATCH(tbl_DCFC[[#This Row], [Categorie]],CAT,0)),"")</f>
      </c>
      <c r="C99" s="615">
        <f>IF(D99&lt;&gt;"","S"&amp;TEXT(WEEKNUM(D99,21),"00"),"")</f>
      </c>
      <c r="D99" s="614">
        <v>25569.042182974536</v>
      </c>
      <c r="E99" s="599">
        <v>4734</v>
      </c>
      <c r="F99" s="602" t="s">
        <v>641</v>
      </c>
      <c r="G99" s="602" t="s">
        <v>713</v>
      </c>
      <c r="H99" s="602"/>
      <c r="I99" s="599">
        <v>5939</v>
      </c>
      <c r="J99" s="602" t="s">
        <v>280</v>
      </c>
      <c r="K99" s="602" t="s">
        <v>548</v>
      </c>
      <c r="L99" s="616" t="s">
        <v>646</v>
      </c>
      <c r="M99" s="590"/>
      <c r="N99" s="69">
        <f>IF(Q99&lt;&gt;"","S"&amp;TEXT(WEEKNUM(Q99,21),"00"),"")</f>
      </c>
      <c r="O99" s="69">
        <f>IF(Data!$Q96="","",YEAR(Data!$Q96))</f>
      </c>
      <c r="P99" s="69">
        <f>IF(Data!$Q96="","",MONTH(Data!$Q96))</f>
      </c>
      <c r="Q99" s="43">
        <v>25569.04218298611</v>
      </c>
      <c r="R99" s="3" t="s">
        <v>917</v>
      </c>
      <c r="S99" s="9">
        <v>5939</v>
      </c>
      <c r="T99" s="3"/>
      <c r="U99" s="3"/>
      <c r="V99" s="590"/>
      <c r="W99" s="31"/>
      <c r="X99" s="69">
        <f>IF(AC99&lt;&gt;"","S"&amp;TEXT(WEEKNUM(AC99,21),"00"),"")</f>
      </c>
      <c r="Y99" s="69">
        <f>IF(Data!$AC96="","",YEAR(Data!$AC96))</f>
      </c>
      <c r="Z99" s="69">
        <f>IF(Data!$AC96="","",MONTH(Data!$AC96))</f>
      </c>
      <c r="AA99" s="31"/>
      <c r="AB99" s="8"/>
      <c r="AC99" s="637"/>
      <c r="AD99" s="9"/>
      <c r="AE99" s="43">
        <v>25569.042184097223</v>
      </c>
      <c r="AF99" s="573"/>
      <c r="AG99" s="3"/>
      <c r="AH99" s="590"/>
      <c r="AI99" s="609">
        <v>3</v>
      </c>
      <c r="AJ99" s="610" t="s">
        <v>918</v>
      </c>
      <c r="AK99" s="590"/>
      <c r="AL99" s="3"/>
      <c r="AM99" s="590"/>
      <c r="AN99" s="602"/>
      <c r="AO99" s="590"/>
      <c r="AP99" s="610" t="s">
        <v>919</v>
      </c>
      <c r="AQ99" s="590"/>
      <c r="AR99" s="611"/>
      <c r="AS99" s="590"/>
      <c r="AT99" s="612">
        <v>1110</v>
      </c>
      <c r="AU99" s="612">
        <v>510</v>
      </c>
      <c r="AV99" s="587">
        <f>IF(AT99="","",S99-AT99-AU99)</f>
      </c>
      <c r="AW99" s="588">
        <f>IFERROR(IF(tbl_DCFC[[#This Row], [F Montant HT]]="","",tbl_DCFC[[#This Row], [Marge]]/tbl_DCFC[[#This Row], [F Montant HT]]),"")</f>
      </c>
      <c r="AX99" s="8"/>
      <c r="AY99" s="3"/>
      <c r="AZ99" s="3"/>
      <c r="BA99" s="8"/>
    </row>
    <row x14ac:dyDescent="0.25" r="100" customHeight="1" ht="15">
      <c r="A100" s="614">
        <v>25569.042182974536</v>
      </c>
      <c r="B100" s="569">
        <f>IFERROR(INDEX(Tabelle2[BU],MATCH(tbl_DCFC[[#This Row], [Categorie]],CAT,0)),"")</f>
      </c>
      <c r="C100" s="615">
        <f>IF(D100&lt;&gt;"","S"&amp;TEXT(WEEKNUM(D100,21),"00"),"")</f>
      </c>
      <c r="D100" s="614">
        <v>25569.042182974536</v>
      </c>
      <c r="E100" s="599">
        <v>4734</v>
      </c>
      <c r="F100" s="602" t="s">
        <v>641</v>
      </c>
      <c r="G100" s="602" t="s">
        <v>713</v>
      </c>
      <c r="H100" s="602"/>
      <c r="I100" s="599">
        <v>2393</v>
      </c>
      <c r="J100" s="602" t="s">
        <v>280</v>
      </c>
      <c r="K100" s="602" t="s">
        <v>548</v>
      </c>
      <c r="L100" s="616" t="s">
        <v>646</v>
      </c>
      <c r="M100" s="590"/>
      <c r="N100" s="69">
        <f>IF(Q100&lt;&gt;"","S"&amp;TEXT(WEEKNUM(Q100,21),"00"),"")</f>
      </c>
      <c r="O100" s="69">
        <f>IF(Data!$Q113="","",YEAR(Data!$Q113))</f>
      </c>
      <c r="P100" s="69">
        <f>IF(Data!$Q113="","",MONTH(Data!$Q113))</f>
      </c>
      <c r="Q100" s="43">
        <v>25569.04218351852</v>
      </c>
      <c r="R100" s="3" t="s">
        <v>917</v>
      </c>
      <c r="S100" s="9">
        <v>2393</v>
      </c>
      <c r="T100" s="3"/>
      <c r="U100" s="3"/>
      <c r="V100" s="590"/>
      <c r="W100" s="31"/>
      <c r="X100" s="69">
        <f>IF(AC100&lt;&gt;"","S"&amp;TEXT(WEEKNUM(AC100,21),"00"),"")</f>
      </c>
      <c r="Y100" s="69">
        <f>IF(Data!$AC113="","",YEAR(Data!$AC113))</f>
      </c>
      <c r="Z100" s="69">
        <f>IF(Data!$AC113="","",MONTH(Data!$AC113))</f>
      </c>
      <c r="AA100" s="31"/>
      <c r="AB100" s="8"/>
      <c r="AC100" s="637"/>
      <c r="AD100" s="9"/>
      <c r="AE100" s="43">
        <v>25569.042183958332</v>
      </c>
      <c r="AF100" s="573"/>
      <c r="AG100" s="3"/>
      <c r="AH100" s="590"/>
      <c r="AI100" s="609">
        <v>1</v>
      </c>
      <c r="AJ100" s="610" t="s">
        <v>920</v>
      </c>
      <c r="AK100" s="590"/>
      <c r="AL100" s="3"/>
      <c r="AM100" s="590"/>
      <c r="AN100" s="602"/>
      <c r="AO100" s="590"/>
      <c r="AP100" s="610" t="s">
        <v>919</v>
      </c>
      <c r="AQ100" s="590"/>
      <c r="AR100" s="611"/>
      <c r="AS100" s="590"/>
      <c r="AT100" s="612">
        <v>448</v>
      </c>
      <c r="AU100" s="612">
        <v>205</v>
      </c>
      <c r="AV100" s="587">
        <f>IF(AT100="","",S100-AT100-AU100)</f>
      </c>
      <c r="AW100" s="588">
        <f>IFERROR(IF(tbl_DCFC[[#This Row], [F Montant HT]]="","",tbl_DCFC[[#This Row], [Marge]]/tbl_DCFC[[#This Row], [F Montant HT]]),"")</f>
      </c>
      <c r="AX100" s="8"/>
      <c r="AY100" s="3"/>
      <c r="AZ100" s="3"/>
      <c r="BA100" s="8"/>
    </row>
    <row x14ac:dyDescent="0.25" r="101" customHeight="1" ht="15">
      <c r="A101" s="614">
        <v>25569.042182974536</v>
      </c>
      <c r="B101" s="569">
        <f>IFERROR(INDEX(Tabelle2[BU],MATCH(tbl_DCFC[[#This Row], [Categorie]],CAT,0)),"")</f>
      </c>
      <c r="C101" s="615">
        <f>IF(D101&lt;&gt;"","S"&amp;TEXT(WEEKNUM(D101,21),"00"),"")</f>
      </c>
      <c r="D101" s="614">
        <v>25569.042182974536</v>
      </c>
      <c r="E101" s="599">
        <v>4734</v>
      </c>
      <c r="F101" s="602" t="s">
        <v>641</v>
      </c>
      <c r="G101" s="602" t="s">
        <v>713</v>
      </c>
      <c r="H101" s="602"/>
      <c r="I101" s="599">
        <v>385</v>
      </c>
      <c r="J101" s="602" t="s">
        <v>280</v>
      </c>
      <c r="K101" s="602" t="s">
        <v>548</v>
      </c>
      <c r="L101" s="616" t="s">
        <v>646</v>
      </c>
      <c r="M101" s="590"/>
      <c r="N101" s="69">
        <f>IF(Q101&lt;&gt;"","S"&amp;TEXT(WEEKNUM(Q101,21),"00"),"")</f>
      </c>
      <c r="O101" s="69">
        <f>IF(Data!$Q132="","",YEAR(Data!$Q132))</f>
      </c>
      <c r="P101" s="69">
        <f>IF(Data!$Q132="","",MONTH(Data!$Q132))</f>
      </c>
      <c r="Q101" s="43">
        <v>25569.04218351852</v>
      </c>
      <c r="R101" s="3" t="s">
        <v>917</v>
      </c>
      <c r="S101" s="9">
        <v>385</v>
      </c>
      <c r="T101" s="3"/>
      <c r="U101" s="3"/>
      <c r="V101" s="590"/>
      <c r="W101" s="31"/>
      <c r="X101" s="69">
        <f>IF(AC101&lt;&gt;"","S"&amp;TEXT(WEEKNUM(AC101,21),"00"),"")</f>
      </c>
      <c r="Y101" s="69">
        <f>IF(Data!$AC132="","",YEAR(Data!$AC132))</f>
      </c>
      <c r="Z101" s="69">
        <f>IF(Data!$AC132="","",MONTH(Data!$AC132))</f>
      </c>
      <c r="AA101" s="43">
        <v>25569.04218353009</v>
      </c>
      <c r="AB101" s="9">
        <v>5232</v>
      </c>
      <c r="AC101" s="43">
        <v>25569.042183587964</v>
      </c>
      <c r="AD101" s="9">
        <v>385</v>
      </c>
      <c r="AE101" s="43">
        <v>25569.04218355324</v>
      </c>
      <c r="AF101" s="573"/>
      <c r="AG101" s="3"/>
      <c r="AH101" s="590"/>
      <c r="AI101" s="609">
        <v>1</v>
      </c>
      <c r="AJ101" s="610" t="s">
        <v>921</v>
      </c>
      <c r="AK101" s="590"/>
      <c r="AL101" s="3"/>
      <c r="AM101" s="590"/>
      <c r="AN101" s="602"/>
      <c r="AO101" s="590"/>
      <c r="AP101" s="610" t="s">
        <v>919</v>
      </c>
      <c r="AQ101" s="590"/>
      <c r="AR101" s="611"/>
      <c r="AS101" s="590"/>
      <c r="AT101" s="612">
        <v>72</v>
      </c>
      <c r="AU101" s="612">
        <v>35</v>
      </c>
      <c r="AV101" s="587">
        <f>IF(AT101="","",S101-AT101-AU101)</f>
      </c>
      <c r="AW101" s="588">
        <f>IFERROR(IF(tbl_DCFC[[#This Row], [F Montant HT]]="","",tbl_DCFC[[#This Row], [Marge]]/tbl_DCFC[[#This Row], [F Montant HT]]),"")</f>
      </c>
      <c r="AX101" s="8"/>
      <c r="AY101" s="3"/>
      <c r="AZ101" s="3"/>
      <c r="BA101" s="8"/>
    </row>
    <row x14ac:dyDescent="0.25" r="102" customHeight="1" ht="15">
      <c r="A102" s="614">
        <v>25569.042183055557</v>
      </c>
      <c r="B102" s="569">
        <f>IFERROR(INDEX(Tabelle2[BU],MATCH(tbl_DCFC[[#This Row], [Categorie]],CAT,0)),"")</f>
      </c>
      <c r="C102" s="615">
        <f>IF(D102&lt;&gt;"","S"&amp;TEXT(WEEKNUM(D102,21),"00"),"")</f>
      </c>
      <c r="D102" s="614">
        <v>25569.042183055557</v>
      </c>
      <c r="E102" s="599">
        <v>4738</v>
      </c>
      <c r="F102" s="602" t="s">
        <v>641</v>
      </c>
      <c r="G102" s="602" t="s">
        <v>922</v>
      </c>
      <c r="H102" s="602"/>
      <c r="I102" s="599">
        <v>1915</v>
      </c>
      <c r="J102" s="602" t="s">
        <v>281</v>
      </c>
      <c r="K102" s="602" t="s">
        <v>548</v>
      </c>
      <c r="L102" s="616" t="s">
        <v>646</v>
      </c>
      <c r="M102" s="590"/>
      <c r="N102" s="69">
        <f>IF(Q102&lt;&gt;"","S"&amp;TEXT(WEEKNUM(Q102,21),"00"),"")</f>
      </c>
      <c r="O102" s="69">
        <f>IF(Data!$Q98="","",YEAR(Data!$Q98))</f>
      </c>
      <c r="P102" s="69">
        <f>IF(Data!$Q98="","",MONTH(Data!$Q98))</f>
      </c>
      <c r="Q102" s="637"/>
      <c r="R102" s="3" t="s">
        <v>923</v>
      </c>
      <c r="S102" s="9">
        <v>1915</v>
      </c>
      <c r="T102" s="3"/>
      <c r="U102" s="3"/>
      <c r="V102" s="590"/>
      <c r="W102" s="43">
        <v>25569.04218310185</v>
      </c>
      <c r="X102" s="69">
        <f>IF(AC102&lt;&gt;"","S"&amp;TEXT(WEEKNUM(AC102,21),"00"),"")</f>
      </c>
      <c r="Y102" s="69">
        <f>IF(Data!$AC98="","",YEAR(Data!$AC98))</f>
      </c>
      <c r="Z102" s="69">
        <f>IF(Data!$AC98="","",MONTH(Data!$AC98))</f>
      </c>
      <c r="AA102" s="31"/>
      <c r="AB102" s="8"/>
      <c r="AC102" s="637"/>
      <c r="AD102" s="9"/>
      <c r="AE102" s="43">
        <v>25569.04218371528</v>
      </c>
      <c r="AF102" s="573"/>
      <c r="AG102" s="3"/>
      <c r="AH102" s="590"/>
      <c r="AI102" s="609">
        <v>1</v>
      </c>
      <c r="AJ102" s="610" t="s">
        <v>924</v>
      </c>
      <c r="AK102" s="590"/>
      <c r="AL102" s="3"/>
      <c r="AM102" s="590"/>
      <c r="AN102" s="602"/>
      <c r="AO102" s="590"/>
      <c r="AP102" s="610" t="s">
        <v>925</v>
      </c>
      <c r="AQ102" s="590"/>
      <c r="AR102" s="611"/>
      <c r="AS102" s="590"/>
      <c r="AT102" s="612"/>
      <c r="AU102" s="612"/>
      <c r="AV102" s="587">
        <f>IF(AT102="","",S102-AT102-AU102)</f>
      </c>
      <c r="AW102" s="588">
        <f>IFERROR(IF(tbl_DCFC[[#This Row], [F Montant HT]]="","",tbl_DCFC[[#This Row], [Marge]]/tbl_DCFC[[#This Row], [F Montant HT]]),"")</f>
      </c>
      <c r="AX102" s="8"/>
      <c r="AY102" s="3"/>
      <c r="AZ102" s="3"/>
      <c r="BA102" s="8"/>
    </row>
    <row x14ac:dyDescent="0.25" r="103" customHeight="1" ht="15">
      <c r="A103" s="614">
        <v>25569.04218310185</v>
      </c>
      <c r="B103" s="569">
        <f>IFERROR(INDEX(Tabelle2[BU],MATCH(tbl_DCFC[[#This Row], [Categorie]],CAT,0)),"")</f>
      </c>
      <c r="C103" s="615">
        <f>IF(D103&lt;&gt;"","S"&amp;TEXT(WEEKNUM(D103,21),"00"),"")</f>
      </c>
      <c r="D103" s="614">
        <v>25569.04218310185</v>
      </c>
      <c r="E103" s="599">
        <v>4739</v>
      </c>
      <c r="F103" s="602" t="s">
        <v>641</v>
      </c>
      <c r="G103" s="602" t="s">
        <v>926</v>
      </c>
      <c r="H103" s="602"/>
      <c r="I103" s="599">
        <v>5885</v>
      </c>
      <c r="J103" s="602" t="s">
        <v>280</v>
      </c>
      <c r="K103" s="602" t="s">
        <v>548</v>
      </c>
      <c r="L103" s="616" t="s">
        <v>642</v>
      </c>
      <c r="M103" s="590"/>
      <c r="N103" s="69">
        <f>IF(Q103&lt;&gt;"","S"&amp;TEXT(WEEKNUM(Q103,21),"00"),"")</f>
      </c>
      <c r="O103" s="69">
        <f>IF(Data!$Q99="","",YEAR(Data!$Q99))</f>
      </c>
      <c r="P103" s="69">
        <f>IF(Data!$Q99="","",MONTH(Data!$Q99))</f>
      </c>
      <c r="Q103" s="637"/>
      <c r="R103" s="3"/>
      <c r="S103" s="8"/>
      <c r="T103" s="3"/>
      <c r="U103" s="3"/>
      <c r="V103" s="590"/>
      <c r="W103" s="31"/>
      <c r="X103" s="69">
        <f>IF(AC103&lt;&gt;"","S"&amp;TEXT(WEEKNUM(AC103,21),"00"),"")</f>
      </c>
      <c r="Y103" s="69">
        <f>IF(Data!$AC99="","",YEAR(Data!$AC99))</f>
      </c>
      <c r="Z103" s="69">
        <f>IF(Data!$AC99="","",MONTH(Data!$AC99))</f>
      </c>
      <c r="AA103" s="31"/>
      <c r="AB103" s="8"/>
      <c r="AC103" s="637"/>
      <c r="AD103" s="9"/>
      <c r="AE103" s="31"/>
      <c r="AF103" s="573"/>
      <c r="AG103" s="3"/>
      <c r="AH103" s="590"/>
      <c r="AI103" s="609">
        <v>1</v>
      </c>
      <c r="AJ103" s="610" t="s">
        <v>927</v>
      </c>
      <c r="AK103" s="590"/>
      <c r="AL103" s="3" t="s">
        <v>928</v>
      </c>
      <c r="AM103" s="590"/>
      <c r="AN103" s="602"/>
      <c r="AO103" s="590"/>
      <c r="AP103" s="610" t="s">
        <v>929</v>
      </c>
      <c r="AQ103" s="590"/>
      <c r="AR103" s="611"/>
      <c r="AS103" s="590"/>
      <c r="AT103" s="612"/>
      <c r="AU103" s="612"/>
      <c r="AV103" s="587">
        <f>IF(AT103="","",S103-AT103-AU103)</f>
      </c>
      <c r="AW103" s="588">
        <f>IFERROR(IF(tbl_DCFC[[#This Row], [F Montant HT]]="","",tbl_DCFC[[#This Row], [Marge]]/tbl_DCFC[[#This Row], [F Montant HT]]),"")</f>
      </c>
      <c r="AX103" s="8"/>
      <c r="AY103" s="3"/>
      <c r="AZ103" s="3"/>
      <c r="BA103" s="8"/>
    </row>
    <row x14ac:dyDescent="0.25" r="104" customHeight="1" ht="15">
      <c r="A104" s="614">
        <v>25569.04218310185</v>
      </c>
      <c r="B104" s="569">
        <f>IFERROR(INDEX(Tabelle2[BU],MATCH(tbl_DCFC[[#This Row], [Categorie]],CAT,0)),"")</f>
      </c>
      <c r="C104" s="615">
        <f>IF(D104&lt;&gt;"","S"&amp;TEXT(WEEKNUM(D104,21),"00"),"")</f>
      </c>
      <c r="D104" s="614">
        <v>25569.04218310185</v>
      </c>
      <c r="E104" s="599">
        <v>4740</v>
      </c>
      <c r="F104" s="602" t="s">
        <v>641</v>
      </c>
      <c r="G104" s="602" t="s">
        <v>926</v>
      </c>
      <c r="H104" s="602"/>
      <c r="I104" s="599">
        <v>4476</v>
      </c>
      <c r="J104" s="602" t="s">
        <v>280</v>
      </c>
      <c r="K104" s="602" t="s">
        <v>548</v>
      </c>
      <c r="L104" s="616" t="s">
        <v>642</v>
      </c>
      <c r="M104" s="590"/>
      <c r="N104" s="69">
        <f>IF(Q104&lt;&gt;"","S"&amp;TEXT(WEEKNUM(Q104,21),"00"),"")</f>
      </c>
      <c r="O104" s="69">
        <f>IF(Data!$Q100="","",YEAR(Data!$Q100))</f>
      </c>
      <c r="P104" s="69">
        <f>IF(Data!$Q100="","",MONTH(Data!$Q100))</f>
      </c>
      <c r="Q104" s="637"/>
      <c r="R104" s="3"/>
      <c r="S104" s="8"/>
      <c r="T104" s="3"/>
      <c r="U104" s="3"/>
      <c r="V104" s="590"/>
      <c r="W104" s="31"/>
      <c r="X104" s="69">
        <f>IF(AC104&lt;&gt;"","S"&amp;TEXT(WEEKNUM(AC104,21),"00"),"")</f>
      </c>
      <c r="Y104" s="69">
        <f>IF(Data!$AC100="","",YEAR(Data!$AC100))</f>
      </c>
      <c r="Z104" s="69">
        <f>IF(Data!$AC100="","",MONTH(Data!$AC100))</f>
      </c>
      <c r="AA104" s="31"/>
      <c r="AB104" s="8"/>
      <c r="AC104" s="637"/>
      <c r="AD104" s="9"/>
      <c r="AE104" s="31"/>
      <c r="AF104" s="573"/>
      <c r="AG104" s="3"/>
      <c r="AH104" s="590"/>
      <c r="AI104" s="609">
        <v>1</v>
      </c>
      <c r="AJ104" s="610" t="s">
        <v>930</v>
      </c>
      <c r="AK104" s="590"/>
      <c r="AL104" s="3"/>
      <c r="AM104" s="590"/>
      <c r="AN104" s="602"/>
      <c r="AO104" s="590"/>
      <c r="AP104" s="610" t="s">
        <v>931</v>
      </c>
      <c r="AQ104" s="590"/>
      <c r="AR104" s="611"/>
      <c r="AS104" s="590"/>
      <c r="AT104" s="612"/>
      <c r="AU104" s="612"/>
      <c r="AV104" s="587">
        <f>IF(AT104="","",S104-AT104-AU104)</f>
      </c>
      <c r="AW104" s="588">
        <f>IFERROR(IF(tbl_DCFC[[#This Row], [F Montant HT]]="","",tbl_DCFC[[#This Row], [Marge]]/tbl_DCFC[[#This Row], [F Montant HT]]),"")</f>
      </c>
      <c r="AX104" s="8"/>
      <c r="AY104" s="3"/>
      <c r="AZ104" s="3"/>
      <c r="BA104" s="8"/>
    </row>
    <row x14ac:dyDescent="0.25" r="105" customHeight="1" ht="15">
      <c r="A105" s="614">
        <v>25569.04218310185</v>
      </c>
      <c r="B105" s="569">
        <f>IFERROR(INDEX(Tabelle2[BU],MATCH(tbl_DCFC[[#This Row], [Categorie]],CAT,0)),"")</f>
      </c>
      <c r="C105" s="615">
        <f>IF(D105&lt;&gt;"","S"&amp;TEXT(WEEKNUM(D105,21),"00"),"")</f>
      </c>
      <c r="D105" s="614">
        <v>25569.04218310185</v>
      </c>
      <c r="E105" s="599">
        <v>4741</v>
      </c>
      <c r="F105" s="602" t="s">
        <v>641</v>
      </c>
      <c r="G105" s="602" t="s">
        <v>336</v>
      </c>
      <c r="H105" s="602"/>
      <c r="I105" s="599">
        <v>186</v>
      </c>
      <c r="J105" s="602" t="s">
        <v>281</v>
      </c>
      <c r="K105" s="602" t="s">
        <v>932</v>
      </c>
      <c r="L105" s="616" t="s">
        <v>646</v>
      </c>
      <c r="M105" s="590"/>
      <c r="N105" s="69">
        <f>IF(Q105&lt;&gt;"","S"&amp;TEXT(WEEKNUM(Q105,21),"00"),"")</f>
      </c>
      <c r="O105" s="69">
        <f>IF(Data!$Q101="","",YEAR(Data!$Q101))</f>
      </c>
      <c r="P105" s="69">
        <f>IF(Data!$Q101="","",MONTH(Data!$Q101))</f>
      </c>
      <c r="Q105" s="43">
        <v>25569.042183425925</v>
      </c>
      <c r="R105" s="3" t="s">
        <v>933</v>
      </c>
      <c r="S105" s="9">
        <v>186</v>
      </c>
      <c r="T105" s="3"/>
      <c r="U105" s="3"/>
      <c r="V105" s="590"/>
      <c r="W105" s="31"/>
      <c r="X105" s="69">
        <f>IF(AC105&lt;&gt;"","S"&amp;TEXT(WEEKNUM(AC105,21),"00"),"")</f>
      </c>
      <c r="Y105" s="69">
        <f>IF(Data!$AC101="","",YEAR(Data!$AC101))</f>
      </c>
      <c r="Z105" s="69">
        <f>IF(Data!$AC101="","",MONTH(Data!$AC101))</f>
      </c>
      <c r="AA105" s="43">
        <v>25569.04218353009</v>
      </c>
      <c r="AB105" s="9">
        <v>5231</v>
      </c>
      <c r="AC105" s="43">
        <v>25569.04218355324</v>
      </c>
      <c r="AD105" s="9">
        <v>186</v>
      </c>
      <c r="AE105" s="43">
        <v>25569.042183634258</v>
      </c>
      <c r="AF105" s="573"/>
      <c r="AG105" s="3"/>
      <c r="AH105" s="590"/>
      <c r="AI105" s="609">
        <v>3</v>
      </c>
      <c r="AJ105" s="610" t="s">
        <v>934</v>
      </c>
      <c r="AK105" s="590"/>
      <c r="AL105" s="3" t="s">
        <v>935</v>
      </c>
      <c r="AM105" s="590"/>
      <c r="AN105" s="602"/>
      <c r="AO105" s="590"/>
      <c r="AP105" s="610" t="s">
        <v>936</v>
      </c>
      <c r="AQ105" s="590"/>
      <c r="AR105" s="611"/>
      <c r="AS105" s="590"/>
      <c r="AT105" s="612">
        <v>43</v>
      </c>
      <c r="AU105" s="612"/>
      <c r="AV105" s="587"/>
      <c r="AW105" s="588">
        <f>IFERROR(IF(tbl_DCFC[[#This Row], [F Montant HT]]="","",tbl_DCFC[[#This Row], [Marge]]/tbl_DCFC[[#This Row], [F Montant HT]]),"")</f>
      </c>
      <c r="AX105" s="8"/>
      <c r="AY105" s="3"/>
      <c r="AZ105" s="3"/>
      <c r="BA105" s="8"/>
    </row>
    <row x14ac:dyDescent="0.25" r="106" customHeight="1" ht="15">
      <c r="A106" s="614">
        <v>25569.04218310185</v>
      </c>
      <c r="B106" s="569">
        <f>IFERROR(INDEX(Tabelle2[BU],MATCH(tbl_DCFC[[#This Row], [Categorie]],CAT,0)),"")</f>
      </c>
      <c r="C106" s="615">
        <f>IF(D106&lt;&gt;"","S"&amp;TEXT(WEEKNUM(D106,21),"00"),"")</f>
      </c>
      <c r="D106" s="614">
        <v>25569.04218310185</v>
      </c>
      <c r="E106" s="599">
        <v>4742</v>
      </c>
      <c r="F106" s="602" t="s">
        <v>641</v>
      </c>
      <c r="G106" s="602" t="s">
        <v>926</v>
      </c>
      <c r="H106" s="602"/>
      <c r="I106" s="599">
        <v>660</v>
      </c>
      <c r="J106" s="602" t="s">
        <v>280</v>
      </c>
      <c r="K106" s="602" t="s">
        <v>548</v>
      </c>
      <c r="L106" s="616" t="s">
        <v>646</v>
      </c>
      <c r="M106" s="590"/>
      <c r="N106" s="69">
        <f>IF(Q106&lt;&gt;"","S"&amp;TEXT(WEEKNUM(Q106,21),"00"),"")</f>
      </c>
      <c r="O106" s="69">
        <f>IF(Data!$Q102="","",YEAR(Data!$Q102))</f>
      </c>
      <c r="P106" s="69">
        <f>IF(Data!$Q102="","",MONTH(Data!$Q102))</f>
      </c>
      <c r="Q106" s="43">
        <v>25569.042183113426</v>
      </c>
      <c r="R106" s="3" t="s">
        <v>937</v>
      </c>
      <c r="S106" s="9">
        <v>660</v>
      </c>
      <c r="T106" s="3"/>
      <c r="U106" s="3"/>
      <c r="V106" s="590"/>
      <c r="W106" s="31"/>
      <c r="X106" s="69">
        <f>IF(AC106&lt;&gt;"","S"&amp;TEXT(WEEKNUM(AC106,21),"00"),"")</f>
      </c>
      <c r="Y106" s="69">
        <f>IF(Data!$AC102="","",YEAR(Data!$AC102))</f>
      </c>
      <c r="Z106" s="69">
        <f>IF(Data!$AC102="","",MONTH(Data!$AC102))</f>
      </c>
      <c r="AA106" s="31"/>
      <c r="AB106" s="8"/>
      <c r="AC106" s="637"/>
      <c r="AD106" s="9"/>
      <c r="AE106" s="43">
        <v>25569.042184479167</v>
      </c>
      <c r="AF106" s="573"/>
      <c r="AG106" s="3"/>
      <c r="AH106" s="590"/>
      <c r="AI106" s="609">
        <v>1</v>
      </c>
      <c r="AJ106" s="610" t="s">
        <v>938</v>
      </c>
      <c r="AK106" s="590"/>
      <c r="AL106" s="3"/>
      <c r="AM106" s="590"/>
      <c r="AN106" s="602"/>
      <c r="AO106" s="590"/>
      <c r="AP106" s="610" t="s">
        <v>939</v>
      </c>
      <c r="AQ106" s="590"/>
      <c r="AR106" s="611"/>
      <c r="AS106" s="590"/>
      <c r="AT106" s="612"/>
      <c r="AU106" s="612"/>
      <c r="AV106" s="587"/>
      <c r="AW106" s="588">
        <f>IFERROR(IF(tbl_DCFC[[#This Row], [F Montant HT]]="","",tbl_DCFC[[#This Row], [Marge]]/tbl_DCFC[[#This Row], [F Montant HT]]),"")</f>
      </c>
      <c r="AX106" s="8"/>
      <c r="AY106" s="3"/>
      <c r="AZ106" s="3"/>
      <c r="BA106" s="8"/>
    </row>
    <row x14ac:dyDescent="0.25" r="107" customHeight="1" ht="15">
      <c r="A107" s="614">
        <v>25569.04218310185</v>
      </c>
      <c r="B107" s="569">
        <f>IFERROR(INDEX(Tabelle2[BU],MATCH(tbl_DCFC[[#This Row], [Categorie]],CAT,0)),"")</f>
      </c>
      <c r="C107" s="615">
        <f>IF(D107&lt;&gt;"","S"&amp;TEXT(WEEKNUM(D107,21),"00"),"")</f>
      </c>
      <c r="D107" s="614">
        <v>25569.04218310185</v>
      </c>
      <c r="E107" s="599">
        <v>4742</v>
      </c>
      <c r="F107" s="602" t="s">
        <v>641</v>
      </c>
      <c r="G107" s="602" t="s">
        <v>926</v>
      </c>
      <c r="H107" s="602"/>
      <c r="I107" s="599">
        <v>7303</v>
      </c>
      <c r="J107" s="602" t="s">
        <v>280</v>
      </c>
      <c r="K107" s="602" t="s">
        <v>548</v>
      </c>
      <c r="L107" s="616" t="s">
        <v>646</v>
      </c>
      <c r="M107" s="590"/>
      <c r="N107" s="69">
        <f>IF(Q107&lt;&gt;"","S"&amp;TEXT(WEEKNUM(Q107,21),"00"),"")</f>
      </c>
      <c r="O107" s="69">
        <f>IF(Data!$Q120="","",YEAR(Data!$Q120))</f>
      </c>
      <c r="P107" s="69">
        <f>IF(Data!$Q120="","",MONTH(Data!$Q120))</f>
      </c>
      <c r="Q107" s="43">
        <v>25569.042183344907</v>
      </c>
      <c r="R107" s="3" t="s">
        <v>937</v>
      </c>
      <c r="S107" s="9">
        <v>7303</v>
      </c>
      <c r="T107" s="3"/>
      <c r="U107" s="3"/>
      <c r="V107" s="590"/>
      <c r="W107" s="31"/>
      <c r="X107" s="69">
        <f>IF(AC107&lt;&gt;"","S"&amp;TEXT(WEEKNUM(AC107,21),"00"),"")</f>
      </c>
      <c r="Y107" s="69">
        <f>IF(Data!$AC120="","",YEAR(Data!$AC120))</f>
      </c>
      <c r="Z107" s="69">
        <f>IF(Data!$AC120="","",MONTH(Data!$AC120))</f>
      </c>
      <c r="AA107" s="31"/>
      <c r="AB107" s="8"/>
      <c r="AC107" s="637"/>
      <c r="AD107" s="9"/>
      <c r="AE107" s="43">
        <v>25569.042184479167</v>
      </c>
      <c r="AF107" s="573"/>
      <c r="AG107" s="3"/>
      <c r="AH107" s="590"/>
      <c r="AI107" s="609">
        <v>1</v>
      </c>
      <c r="AJ107" s="610" t="s">
        <v>940</v>
      </c>
      <c r="AK107" s="590"/>
      <c r="AL107" s="3"/>
      <c r="AM107" s="590"/>
      <c r="AN107" s="602"/>
      <c r="AO107" s="590"/>
      <c r="AP107" s="610" t="s">
        <v>939</v>
      </c>
      <c r="AQ107" s="590"/>
      <c r="AR107" s="611"/>
      <c r="AS107" s="590"/>
      <c r="AT107" s="612"/>
      <c r="AU107" s="612"/>
      <c r="AV107" s="587">
        <f>IF(AT107="","",S107-AT107-AU107)</f>
      </c>
      <c r="AW107" s="588">
        <f>IFERROR(IF(tbl_DCFC[[#This Row], [F Montant HT]]="","",tbl_DCFC[[#This Row], [Marge]]/tbl_DCFC[[#This Row], [F Montant HT]]),"")</f>
      </c>
      <c r="AX107" s="8"/>
      <c r="AY107" s="3"/>
      <c r="AZ107" s="3"/>
      <c r="BA107" s="8"/>
    </row>
    <row x14ac:dyDescent="0.25" r="108" customHeight="1" ht="15">
      <c r="A108" s="614">
        <v>25569.042183113426</v>
      </c>
      <c r="B108" s="569">
        <f>IFERROR(INDEX(Tabelle2[BU],MATCH(tbl_DCFC[[#This Row], [Categorie]],CAT,0)),"")</f>
      </c>
      <c r="C108" s="615">
        <f>IF(D108&lt;&gt;"","S"&amp;TEXT(WEEKNUM(D108,21),"00"),"")</f>
      </c>
      <c r="D108" s="614">
        <v>25569.042183113426</v>
      </c>
      <c r="E108" s="599">
        <v>4743</v>
      </c>
      <c r="F108" s="602" t="s">
        <v>641</v>
      </c>
      <c r="G108" s="602" t="s">
        <v>760</v>
      </c>
      <c r="H108" s="602"/>
      <c r="I108" s="599">
        <v>660</v>
      </c>
      <c r="J108" s="602" t="s">
        <v>280</v>
      </c>
      <c r="K108" s="602" t="s">
        <v>548</v>
      </c>
      <c r="L108" s="616" t="s">
        <v>646</v>
      </c>
      <c r="M108" s="590"/>
      <c r="N108" s="69">
        <f>IF(Q108&lt;&gt;"","S"&amp;TEXT(WEEKNUM(Q108,21),"00"),"")</f>
      </c>
      <c r="O108" s="69">
        <f>IF(Data!$Q103="","",YEAR(Data!$Q103))</f>
      </c>
      <c r="P108" s="69">
        <f>IF(Data!$Q103="","",MONTH(Data!$Q103))</f>
      </c>
      <c r="Q108" s="43">
        <v>25569.042183113426</v>
      </c>
      <c r="R108" s="3" t="s">
        <v>941</v>
      </c>
      <c r="S108" s="9">
        <v>660</v>
      </c>
      <c r="T108" s="3"/>
      <c r="U108" s="3"/>
      <c r="V108" s="590"/>
      <c r="W108" s="31"/>
      <c r="X108" s="69">
        <f>IF(AC108&lt;&gt;"","S"&amp;TEXT(WEEKNUM(AC108,21),"00"),"")</f>
      </c>
      <c r="Y108" s="69">
        <f>IF(Data!$AC103="","",YEAR(Data!$AC103))</f>
      </c>
      <c r="Z108" s="69">
        <f>IF(Data!$AC103="","",MONTH(Data!$AC103))</f>
      </c>
      <c r="AA108" s="43">
        <v>25569.042183287038</v>
      </c>
      <c r="AB108" s="9">
        <v>5215</v>
      </c>
      <c r="AC108" s="43">
        <v>25569.042183310186</v>
      </c>
      <c r="AD108" s="9">
        <v>660</v>
      </c>
      <c r="AE108" s="43">
        <v>25569.042183472222</v>
      </c>
      <c r="AF108" s="573"/>
      <c r="AG108" s="3"/>
      <c r="AH108" s="590"/>
      <c r="AI108" s="609">
        <v>1</v>
      </c>
      <c r="AJ108" s="610" t="s">
        <v>942</v>
      </c>
      <c r="AK108" s="590"/>
      <c r="AL108" s="3"/>
      <c r="AM108" s="590"/>
      <c r="AN108" s="602"/>
      <c r="AO108" s="590"/>
      <c r="AP108" s="610" t="s">
        <v>943</v>
      </c>
      <c r="AQ108" s="590"/>
      <c r="AR108" s="611"/>
      <c r="AS108" s="590"/>
      <c r="AT108" s="612">
        <v>45.15</v>
      </c>
      <c r="AU108" s="612"/>
      <c r="AV108" s="587"/>
      <c r="AW108" s="588">
        <f>IFERROR(IF(tbl_DCFC[[#This Row], [F Montant HT]]="","",tbl_DCFC[[#This Row], [Marge]]/tbl_DCFC[[#This Row], [F Montant HT]]),"")</f>
      </c>
      <c r="AX108" s="8"/>
      <c r="AY108" s="3"/>
      <c r="AZ108" s="3"/>
      <c r="BA108" s="8"/>
    </row>
    <row x14ac:dyDescent="0.25" r="109" customHeight="1" ht="15">
      <c r="A109" s="614">
        <v>25569.042183113426</v>
      </c>
      <c r="B109" s="569">
        <f>IFERROR(INDEX(Tabelle2[BU],MATCH(tbl_DCFC[[#This Row], [Categorie]],CAT,0)),"")</f>
      </c>
      <c r="C109" s="615">
        <f>IF(D109&lt;&gt;"","S"&amp;TEXT(WEEKNUM(D109,21),"00"),"")</f>
      </c>
      <c r="D109" s="614">
        <v>25569.042183194444</v>
      </c>
      <c r="E109" s="599">
        <v>4743</v>
      </c>
      <c r="F109" s="602" t="s">
        <v>679</v>
      </c>
      <c r="G109" s="602" t="s">
        <v>760</v>
      </c>
      <c r="H109" s="602"/>
      <c r="I109" s="599">
        <v>597</v>
      </c>
      <c r="J109" s="602" t="s">
        <v>280</v>
      </c>
      <c r="K109" s="602" t="s">
        <v>548</v>
      </c>
      <c r="L109" s="616" t="s">
        <v>646</v>
      </c>
      <c r="M109" s="590"/>
      <c r="N109" s="69">
        <f>IF(Q109&lt;&gt;"","S"&amp;TEXT(WEEKNUM(Q109,21),"00"),"")</f>
      </c>
      <c r="O109" s="69">
        <f>IF(Data!$Q108="","",YEAR(Data!$Q108))</f>
      </c>
      <c r="P109" s="69">
        <f>IF(Data!$Q108="","",MONTH(Data!$Q108))</f>
      </c>
      <c r="Q109" s="43">
        <v>25569.042183113426</v>
      </c>
      <c r="R109" s="3" t="s">
        <v>941</v>
      </c>
      <c r="S109" s="9">
        <v>597</v>
      </c>
      <c r="T109" s="3"/>
      <c r="U109" s="3"/>
      <c r="V109" s="590"/>
      <c r="W109" s="31"/>
      <c r="X109" s="69">
        <f>IF(AC109&lt;&gt;"","S"&amp;TEXT(WEEKNUM(AC109,21),"00"),"")</f>
      </c>
      <c r="Y109" s="69">
        <f>IF(Data!$AC108="","",YEAR(Data!$AC108))</f>
      </c>
      <c r="Z109" s="69">
        <f>IF(Data!$AC108="","",MONTH(Data!$AC108))</f>
      </c>
      <c r="AA109" s="43">
        <v>25569.042183287038</v>
      </c>
      <c r="AB109" s="9">
        <v>5215</v>
      </c>
      <c r="AC109" s="43">
        <v>25569.042183310186</v>
      </c>
      <c r="AD109" s="9">
        <v>597</v>
      </c>
      <c r="AE109" s="43">
        <v>25569.042183472222</v>
      </c>
      <c r="AF109" s="573"/>
      <c r="AG109" s="3"/>
      <c r="AH109" s="590"/>
      <c r="AI109" s="609">
        <v>1</v>
      </c>
      <c r="AJ109" s="610" t="s">
        <v>944</v>
      </c>
      <c r="AK109" s="590"/>
      <c r="AL109" s="3"/>
      <c r="AM109" s="590"/>
      <c r="AN109" s="602"/>
      <c r="AO109" s="590"/>
      <c r="AP109" s="610" t="s">
        <v>943</v>
      </c>
      <c r="AQ109" s="590"/>
      <c r="AR109" s="611"/>
      <c r="AS109" s="590"/>
      <c r="AT109" s="612">
        <v>40.85</v>
      </c>
      <c r="AU109" s="612"/>
      <c r="AV109" s="587"/>
      <c r="AW109" s="588">
        <f>IFERROR(IF(tbl_DCFC[[#This Row], [F Montant HT]]="","",tbl_DCFC[[#This Row], [Marge]]/tbl_DCFC[[#This Row], [F Montant HT]]),"")</f>
      </c>
      <c r="AX109" s="8"/>
      <c r="AY109" s="3"/>
      <c r="AZ109" s="3"/>
      <c r="BA109" s="8"/>
    </row>
    <row x14ac:dyDescent="0.25" r="110" customHeight="1" ht="15">
      <c r="A110" s="614">
        <v>25569.042183125</v>
      </c>
      <c r="B110" s="569">
        <f>IFERROR(INDEX(Tabelle2[BU],MATCH(tbl_DCFC[[#This Row], [Categorie]],CAT,0)),"")</f>
      </c>
      <c r="C110" s="615">
        <f>IF(D110&lt;&gt;"","S"&amp;TEXT(WEEKNUM(D110,21),"00"),"")</f>
      </c>
      <c r="D110" s="614">
        <v>25569.042183125</v>
      </c>
      <c r="E110" s="599">
        <v>4744</v>
      </c>
      <c r="F110" s="602" t="s">
        <v>641</v>
      </c>
      <c r="G110" s="602" t="s">
        <v>945</v>
      </c>
      <c r="H110" s="602"/>
      <c r="I110" s="599">
        <v>2230</v>
      </c>
      <c r="J110" s="602" t="s">
        <v>281</v>
      </c>
      <c r="K110" s="602" t="s">
        <v>548</v>
      </c>
      <c r="L110" s="616" t="s">
        <v>646</v>
      </c>
      <c r="M110" s="590"/>
      <c r="N110" s="69">
        <f>IF(Q110&lt;&gt;"","S"&amp;TEXT(WEEKNUM(Q110,21),"00"),"")</f>
      </c>
      <c r="O110" s="69">
        <f>IF(Data!$Q106="","",YEAR(Data!$Q106))</f>
      </c>
      <c r="P110" s="69">
        <f>IF(Data!$Q106="","",MONTH(Data!$Q106))</f>
      </c>
      <c r="Q110" s="43">
        <v>25569.042183217593</v>
      </c>
      <c r="R110" s="3" t="s">
        <v>946</v>
      </c>
      <c r="S110" s="9">
        <v>2230</v>
      </c>
      <c r="T110" s="3"/>
      <c r="U110" s="3"/>
      <c r="V110" s="590"/>
      <c r="W110" s="31"/>
      <c r="X110" s="69">
        <f>IF(AC110&lt;&gt;"","S"&amp;TEXT(WEEKNUM(AC110,21),"00"),"")</f>
      </c>
      <c r="Y110" s="69">
        <f>IF(Data!$AC106="","",YEAR(Data!$AC106))</f>
      </c>
      <c r="Z110" s="69">
        <f>IF(Data!$AC106="","",MONTH(Data!$AC106))</f>
      </c>
      <c r="AA110" s="43">
        <v>25569.042183379628</v>
      </c>
      <c r="AB110" s="9">
        <v>5220</v>
      </c>
      <c r="AC110" s="43">
        <v>25569.042183379628</v>
      </c>
      <c r="AD110" s="9">
        <v>2230</v>
      </c>
      <c r="AE110" s="43">
        <v>25569.042183391204</v>
      </c>
      <c r="AF110" s="573"/>
      <c r="AG110" s="3"/>
      <c r="AH110" s="590"/>
      <c r="AI110" s="609">
        <v>4</v>
      </c>
      <c r="AJ110" s="610" t="s">
        <v>947</v>
      </c>
      <c r="AK110" s="590"/>
      <c r="AL110" s="3"/>
      <c r="AM110" s="590"/>
      <c r="AN110" s="602"/>
      <c r="AO110" s="590"/>
      <c r="AP110" s="610" t="s">
        <v>948</v>
      </c>
      <c r="AQ110" s="590"/>
      <c r="AR110" s="611"/>
      <c r="AS110" s="590"/>
      <c r="AT110" s="612"/>
      <c r="AU110" s="612"/>
      <c r="AV110" s="587"/>
      <c r="AW110" s="588"/>
      <c r="AX110" s="8"/>
      <c r="AY110" s="3"/>
      <c r="AZ110" s="3"/>
      <c r="BA110" s="8"/>
    </row>
    <row x14ac:dyDescent="0.25" r="111" customHeight="1" ht="15">
      <c r="A111" s="614">
        <v>25569.042183356483</v>
      </c>
      <c r="B111" s="569">
        <f>IFERROR(INDEX(Tabelle2[BU],MATCH(tbl_DCFC[[#This Row], [Categorie]],CAT,0)),"")</f>
      </c>
      <c r="C111" s="615">
        <f>IF(D111&lt;&gt;"","S"&amp;TEXT(WEEKNUM(D111,21),"00"),"")</f>
      </c>
      <c r="D111" s="614">
        <v>25569.042183356483</v>
      </c>
      <c r="E111" s="599">
        <v>4744</v>
      </c>
      <c r="F111" s="602" t="s">
        <v>693</v>
      </c>
      <c r="G111" s="602" t="s">
        <v>945</v>
      </c>
      <c r="H111" s="602"/>
      <c r="I111" s="599">
        <v>707</v>
      </c>
      <c r="J111" s="602" t="s">
        <v>281</v>
      </c>
      <c r="K111" s="602" t="s">
        <v>548</v>
      </c>
      <c r="L111" s="616" t="s">
        <v>646</v>
      </c>
      <c r="M111" s="590"/>
      <c r="N111" s="69">
        <f>IF(Q111&lt;&gt;"","S"&amp;TEXT(WEEKNUM(Q111,21),"00"),"")</f>
      </c>
      <c r="O111" s="69">
        <f>IF(Data!$Q122="","",YEAR(Data!$Q122))</f>
      </c>
      <c r="P111" s="69">
        <f>IF(Data!$Q122="","",MONTH(Data!$Q122))</f>
      </c>
      <c r="Q111" s="43">
        <v>25569.042183217593</v>
      </c>
      <c r="R111" s="3" t="s">
        <v>946</v>
      </c>
      <c r="S111" s="9">
        <v>707</v>
      </c>
      <c r="T111" s="3"/>
      <c r="U111" s="3"/>
      <c r="V111" s="590"/>
      <c r="W111" s="31"/>
      <c r="X111" s="69">
        <f>IF(AC111&lt;&gt;"","S"&amp;TEXT(WEEKNUM(AC111,21),"00"),"")</f>
      </c>
      <c r="Y111" s="69">
        <f>IF(Data!$AC122="","",YEAR(Data!$AC122))</f>
      </c>
      <c r="Z111" s="69">
        <f>IF(Data!$AC122="","",MONTH(Data!$AC122))</f>
      </c>
      <c r="AA111" s="31"/>
      <c r="AB111" s="8"/>
      <c r="AC111" s="637"/>
      <c r="AD111" s="9"/>
      <c r="AE111" s="31"/>
      <c r="AF111" s="573"/>
      <c r="AG111" s="3"/>
      <c r="AH111" s="590"/>
      <c r="AI111" s="609">
        <v>1</v>
      </c>
      <c r="AJ111" s="610" t="s">
        <v>949</v>
      </c>
      <c r="AK111" s="590"/>
      <c r="AL111" s="3"/>
      <c r="AM111" s="590"/>
      <c r="AN111" s="602"/>
      <c r="AO111" s="590"/>
      <c r="AP111" s="610" t="s">
        <v>948</v>
      </c>
      <c r="AQ111" s="590"/>
      <c r="AR111" s="611"/>
      <c r="AS111" s="590"/>
      <c r="AT111" s="612"/>
      <c r="AU111" s="612"/>
      <c r="AV111" s="587">
        <f>IF(AT111="","",S111-AT111-AU111)</f>
      </c>
      <c r="AW111" s="588">
        <f>IFERROR(IF(tbl_DCFC[[#This Row], [F Montant HT]]="","",tbl_DCFC[[#This Row], [Marge]]/tbl_DCFC[[#This Row], [F Montant HT]]),"")</f>
      </c>
      <c r="AX111" s="8"/>
      <c r="AY111" s="3"/>
      <c r="AZ111" s="3"/>
      <c r="BA111" s="8"/>
    </row>
    <row x14ac:dyDescent="0.25" r="112" customHeight="1" ht="15">
      <c r="A112" s="614">
        <v>25569.042183136575</v>
      </c>
      <c r="B112" s="569">
        <f>IFERROR(INDEX(Tabelle2[BU],MATCH(tbl_DCFC[[#This Row], [Categorie]],CAT,0)),"")</f>
      </c>
      <c r="C112" s="615">
        <f>IF(D112&lt;&gt;"","S"&amp;TEXT(WEEKNUM(D112,21),"00"),"")</f>
      </c>
      <c r="D112" s="614">
        <v>25569.042183136575</v>
      </c>
      <c r="E112" s="599">
        <v>4747</v>
      </c>
      <c r="F112" s="602" t="s">
        <v>641</v>
      </c>
      <c r="G112" s="602" t="s">
        <v>862</v>
      </c>
      <c r="H112" s="602"/>
      <c r="I112" s="599">
        <v>2365</v>
      </c>
      <c r="J112" s="602" t="s">
        <v>280</v>
      </c>
      <c r="K112" s="602" t="s">
        <v>544</v>
      </c>
      <c r="L112" s="616" t="s">
        <v>642</v>
      </c>
      <c r="M112" s="590"/>
      <c r="N112" s="69">
        <f>IF(Q112&lt;&gt;"","S"&amp;TEXT(WEEKNUM(Q112,21),"00"),"")</f>
      </c>
      <c r="O112" s="69">
        <f>IF(Data!$Q105="","",YEAR(Data!$Q105))</f>
      </c>
      <c r="P112" s="69">
        <f>IF(Data!$Q105="","",MONTH(Data!$Q105))</f>
      </c>
      <c r="Q112" s="637"/>
      <c r="R112" s="3"/>
      <c r="S112" s="8"/>
      <c r="T112" s="3"/>
      <c r="U112" s="3"/>
      <c r="V112" s="590"/>
      <c r="W112" s="31"/>
      <c r="X112" s="69">
        <f>IF(AC112&lt;&gt;"","S"&amp;TEXT(WEEKNUM(AC112,21),"00"),"")</f>
      </c>
      <c r="Y112" s="69">
        <f>IF(Data!$AC105="","",YEAR(Data!$AC105))</f>
      </c>
      <c r="Z112" s="69">
        <f>IF(Data!$AC105="","",MONTH(Data!$AC105))</f>
      </c>
      <c r="AA112" s="31"/>
      <c r="AB112" s="8"/>
      <c r="AC112" s="637"/>
      <c r="AD112" s="9"/>
      <c r="AE112" s="31"/>
      <c r="AF112" s="573"/>
      <c r="AG112" s="3"/>
      <c r="AH112" s="590"/>
      <c r="AI112" s="609">
        <v>5</v>
      </c>
      <c r="AJ112" s="610" t="s">
        <v>950</v>
      </c>
      <c r="AK112" s="590"/>
      <c r="AL112" s="3"/>
      <c r="AM112" s="590"/>
      <c r="AN112" s="602"/>
      <c r="AO112" s="590"/>
      <c r="AP112" s="610" t="s">
        <v>951</v>
      </c>
      <c r="AQ112" s="590"/>
      <c r="AR112" s="611"/>
      <c r="AS112" s="590"/>
      <c r="AT112" s="612"/>
      <c r="AU112" s="612"/>
      <c r="AV112" s="587">
        <f>IF(AT112="","",S112-AT112-AU112)</f>
      </c>
      <c r="AW112" s="588">
        <f>IFERROR(IF(tbl_DCFC[[#This Row], [F Montant HT]]="","",tbl_DCFC[[#This Row], [Marge]]/tbl_DCFC[[#This Row], [F Montant HT]]),"")</f>
      </c>
      <c r="AX112" s="8"/>
      <c r="AY112" s="3"/>
      <c r="AZ112" s="3"/>
      <c r="BA112" s="8"/>
    </row>
    <row x14ac:dyDescent="0.25" r="113" customHeight="1" ht="15">
      <c r="A113" s="614">
        <v>25569.04218318287</v>
      </c>
      <c r="B113" s="569">
        <f>IFERROR(INDEX(Tabelle2[BU],MATCH(tbl_DCFC[[#This Row], [Categorie]],CAT,0)),"")</f>
      </c>
      <c r="C113" s="615">
        <f>IF(D113&lt;&gt;"","S"&amp;TEXT(WEEKNUM(D113,21),"00"),"")</f>
      </c>
      <c r="D113" s="614">
        <v>25569.04218318287</v>
      </c>
      <c r="E113" s="599">
        <v>4749</v>
      </c>
      <c r="F113" s="602" t="s">
        <v>641</v>
      </c>
      <c r="G113" s="602" t="s">
        <v>876</v>
      </c>
      <c r="H113" s="602"/>
      <c r="I113" s="599">
        <v>460</v>
      </c>
      <c r="J113" s="602" t="s">
        <v>281</v>
      </c>
      <c r="K113" s="602" t="s">
        <v>548</v>
      </c>
      <c r="L113" s="616" t="s">
        <v>646</v>
      </c>
      <c r="M113" s="590"/>
      <c r="N113" s="69">
        <f>IF(Q113&lt;&gt;"","S"&amp;TEXT(WEEKNUM(Q113,21),"00"),"")</f>
      </c>
      <c r="O113" s="69">
        <f>IF(Data!$Q107="","",YEAR(Data!$Q107))</f>
      </c>
      <c r="P113" s="69">
        <f>IF(Data!$Q107="","",MONTH(Data!$Q107))</f>
      </c>
      <c r="Q113" s="43">
        <v>25569.04218318287</v>
      </c>
      <c r="R113" s="3" t="s">
        <v>952</v>
      </c>
      <c r="S113" s="9">
        <v>460</v>
      </c>
      <c r="T113" s="3"/>
      <c r="U113" s="3"/>
      <c r="V113" s="590"/>
      <c r="W113" s="43">
        <v>25569.042183287038</v>
      </c>
      <c r="X113" s="69">
        <f>IF(AC113&lt;&gt;"","S"&amp;TEXT(WEEKNUM(AC113,21),"00"),"")</f>
      </c>
      <c r="Y113" s="69">
        <f>IF(Data!$AC107="","",YEAR(Data!$AC107))</f>
      </c>
      <c r="Z113" s="69">
        <f>IF(Data!$AC107="","",MONTH(Data!$AC107))</f>
      </c>
      <c r="AA113" s="43">
        <v>25569.042183356483</v>
      </c>
      <c r="AB113" s="9">
        <v>5217</v>
      </c>
      <c r="AC113" s="43">
        <v>25569.042183356483</v>
      </c>
      <c r="AD113" s="9">
        <v>460</v>
      </c>
      <c r="AE113" s="43">
        <v>25569.042183391204</v>
      </c>
      <c r="AF113" s="573"/>
      <c r="AG113" s="3"/>
      <c r="AH113" s="590"/>
      <c r="AI113" s="609">
        <v>1</v>
      </c>
      <c r="AJ113" s="610" t="s">
        <v>953</v>
      </c>
      <c r="AK113" s="590"/>
      <c r="AL113" s="3"/>
      <c r="AM113" s="590"/>
      <c r="AN113" s="602"/>
      <c r="AO113" s="590"/>
      <c r="AP113" s="610" t="s">
        <v>954</v>
      </c>
      <c r="AQ113" s="590"/>
      <c r="AR113" s="611"/>
      <c r="AS113" s="590"/>
      <c r="AT113" s="612"/>
      <c r="AU113" s="612"/>
      <c r="AV113" s="587"/>
      <c r="AW113" s="588"/>
      <c r="AX113" s="8"/>
      <c r="AY113" s="3"/>
      <c r="AZ113" s="3"/>
      <c r="BA113" s="8"/>
    </row>
    <row x14ac:dyDescent="0.25" r="114" customHeight="1" ht="15">
      <c r="A114" s="614">
        <v>25569.042183194444</v>
      </c>
      <c r="B114" s="569">
        <f>IFERROR(INDEX(Tabelle2[BU],MATCH(tbl_DCFC[[#This Row], [Categorie]],CAT,0)),"")</f>
      </c>
      <c r="C114" s="615">
        <f>IF(D114&lt;&gt;"","S"&amp;TEXT(WEEKNUM(D114,21),"00"),"")</f>
      </c>
      <c r="D114" s="614">
        <v>25569.042183194444</v>
      </c>
      <c r="E114" s="599">
        <v>4750</v>
      </c>
      <c r="F114" s="602" t="s">
        <v>641</v>
      </c>
      <c r="G114" s="602" t="s">
        <v>926</v>
      </c>
      <c r="H114" s="602"/>
      <c r="I114" s="599">
        <v>385</v>
      </c>
      <c r="J114" s="602" t="s">
        <v>280</v>
      </c>
      <c r="K114" s="602" t="s">
        <v>544</v>
      </c>
      <c r="L114" s="616" t="s">
        <v>646</v>
      </c>
      <c r="M114" s="590"/>
      <c r="N114" s="69">
        <f>IF(Q114&lt;&gt;"","S"&amp;TEXT(WEEKNUM(Q114,21),"00"),"")</f>
      </c>
      <c r="O114" s="69">
        <f>IF(Data!$Q109="","",YEAR(Data!$Q109))</f>
      </c>
      <c r="P114" s="69">
        <f>IF(Data!$Q109="","",MONTH(Data!$Q109))</f>
      </c>
      <c r="Q114" s="43">
        <v>25569.042183194444</v>
      </c>
      <c r="R114" s="3" t="s">
        <v>955</v>
      </c>
      <c r="S114" s="9">
        <v>385</v>
      </c>
      <c r="T114" s="3"/>
      <c r="U114" s="3"/>
      <c r="V114" s="590"/>
      <c r="W114" s="43">
        <v>25569.042183287038</v>
      </c>
      <c r="X114" s="69">
        <f>IF(AC114&lt;&gt;"","S"&amp;TEXT(WEEKNUM(AC114,21),"00"),"")</f>
      </c>
      <c r="Y114" s="69">
        <f>IF(Data!$AC109="","",YEAR(Data!$AC109))</f>
      </c>
      <c r="Z114" s="69">
        <f>IF(Data!$AC109="","",MONTH(Data!$AC109))</f>
      </c>
      <c r="AA114" s="43">
        <v>25569.042183368056</v>
      </c>
      <c r="AB114" s="9">
        <v>5219</v>
      </c>
      <c r="AC114" s="43">
        <v>25569.042183368056</v>
      </c>
      <c r="AD114" s="9">
        <v>385</v>
      </c>
      <c r="AE114" s="43">
        <v>25569.042183391204</v>
      </c>
      <c r="AF114" s="573"/>
      <c r="AG114" s="3"/>
      <c r="AH114" s="590"/>
      <c r="AI114" s="609">
        <v>1</v>
      </c>
      <c r="AJ114" s="610" t="s">
        <v>956</v>
      </c>
      <c r="AK114" s="590"/>
      <c r="AL114" s="3" t="s">
        <v>957</v>
      </c>
      <c r="AM114" s="590"/>
      <c r="AN114" s="602"/>
      <c r="AO114" s="590"/>
      <c r="AP114" s="610" t="s">
        <v>958</v>
      </c>
      <c r="AQ114" s="590"/>
      <c r="AR114" s="611"/>
      <c r="AS114" s="590"/>
      <c r="AT114" s="612"/>
      <c r="AU114" s="612"/>
      <c r="AV114" s="587"/>
      <c r="AW114" s="588"/>
      <c r="AX114" s="8"/>
      <c r="AY114" s="3"/>
      <c r="AZ114" s="3"/>
      <c r="BA114" s="8"/>
    </row>
    <row x14ac:dyDescent="0.25" r="115" customHeight="1" ht="15">
      <c r="A115" s="614">
        <v>25569.042183194444</v>
      </c>
      <c r="B115" s="569">
        <f>IFERROR(INDEX(Tabelle2[BU],MATCH(tbl_DCFC[[#This Row], [Categorie]],CAT,0)),"")</f>
      </c>
      <c r="C115" s="615">
        <f>IF(D115&lt;&gt;"","S"&amp;TEXT(WEEKNUM(D115,21),"00"),"")</f>
      </c>
      <c r="D115" s="614">
        <v>25569.042183194444</v>
      </c>
      <c r="E115" s="599">
        <v>4751</v>
      </c>
      <c r="F115" s="602" t="s">
        <v>641</v>
      </c>
      <c r="G115" s="602" t="s">
        <v>926</v>
      </c>
      <c r="H115" s="602"/>
      <c r="I115" s="599">
        <v>385</v>
      </c>
      <c r="J115" s="602" t="s">
        <v>280</v>
      </c>
      <c r="K115" s="602" t="s">
        <v>544</v>
      </c>
      <c r="L115" s="616" t="s">
        <v>646</v>
      </c>
      <c r="M115" s="590"/>
      <c r="N115" s="69">
        <f>IF(Q115&lt;&gt;"","S"&amp;TEXT(WEEKNUM(Q115,21),"00"),"")</f>
      </c>
      <c r="O115" s="69">
        <f>IF(Data!$Q110="","",YEAR(Data!$Q110))</f>
      </c>
      <c r="P115" s="69">
        <f>IF(Data!$Q110="","",MONTH(Data!$Q110))</f>
      </c>
      <c r="Q115" s="43">
        <v>25569.042183194444</v>
      </c>
      <c r="R115" s="3" t="s">
        <v>959</v>
      </c>
      <c r="S115" s="9">
        <v>385</v>
      </c>
      <c r="T115" s="3"/>
      <c r="U115" s="3"/>
      <c r="V115" s="590"/>
      <c r="W115" s="43">
        <v>25569.042183287038</v>
      </c>
      <c r="X115" s="69">
        <f>IF(AC115&lt;&gt;"","S"&amp;TEXT(WEEKNUM(AC115,21),"00"),"")</f>
      </c>
      <c r="Y115" s="69">
        <f>IF(Data!$AC110="","",YEAR(Data!$AC110))</f>
      </c>
      <c r="Z115" s="69">
        <f>IF(Data!$AC110="","",MONTH(Data!$AC110))</f>
      </c>
      <c r="AA115" s="43">
        <v>25569.042183368056</v>
      </c>
      <c r="AB115" s="9">
        <v>5218</v>
      </c>
      <c r="AC115" s="43">
        <v>25569.042183368056</v>
      </c>
      <c r="AD115" s="9">
        <v>385</v>
      </c>
      <c r="AE115" s="43">
        <v>25569.042183391204</v>
      </c>
      <c r="AF115" s="573"/>
      <c r="AG115" s="3"/>
      <c r="AH115" s="590"/>
      <c r="AI115" s="609">
        <v>1</v>
      </c>
      <c r="AJ115" s="610" t="s">
        <v>956</v>
      </c>
      <c r="AK115" s="590"/>
      <c r="AL115" s="3" t="s">
        <v>957</v>
      </c>
      <c r="AM115" s="590"/>
      <c r="AN115" s="602"/>
      <c r="AO115" s="590"/>
      <c r="AP115" s="610" t="s">
        <v>960</v>
      </c>
      <c r="AQ115" s="590"/>
      <c r="AR115" s="611"/>
      <c r="AS115" s="590"/>
      <c r="AT115" s="612"/>
      <c r="AU115" s="612"/>
      <c r="AV115" s="587"/>
      <c r="AW115" s="588"/>
      <c r="AX115" s="8"/>
      <c r="AY115" s="3"/>
      <c r="AZ115" s="3"/>
      <c r="BA115" s="8"/>
    </row>
    <row x14ac:dyDescent="0.25" r="116" customHeight="1" ht="15">
      <c r="A116" s="614">
        <v>25569.042183194444</v>
      </c>
      <c r="B116" s="569">
        <f>IFERROR(INDEX(Tabelle2[BU],MATCH(tbl_DCFC[[#This Row], [Categorie]],CAT,0)),"")</f>
      </c>
      <c r="C116" s="615">
        <f>IF(D116&lt;&gt;"","S"&amp;TEXT(WEEKNUM(D116,21),"00"),"")</f>
      </c>
      <c r="D116" s="614">
        <v>25569.042183194444</v>
      </c>
      <c r="E116" s="599">
        <v>4752</v>
      </c>
      <c r="F116" s="602" t="s">
        <v>641</v>
      </c>
      <c r="G116" s="602" t="s">
        <v>336</v>
      </c>
      <c r="H116" s="602"/>
      <c r="I116" s="599">
        <v>3180</v>
      </c>
      <c r="J116" s="602" t="s">
        <v>281</v>
      </c>
      <c r="K116" s="602" t="s">
        <v>544</v>
      </c>
      <c r="L116" s="616" t="s">
        <v>646</v>
      </c>
      <c r="M116" s="590"/>
      <c r="N116" s="69">
        <f>IF(Q116&lt;&gt;"","S"&amp;TEXT(WEEKNUM(Q116,21),"00"),"")</f>
      </c>
      <c r="O116" s="69">
        <f>IF(Data!$Q111="","",YEAR(Data!$Q111))</f>
      </c>
      <c r="P116" s="69">
        <f>IF(Data!$Q111="","",MONTH(Data!$Q111))</f>
      </c>
      <c r="Q116" s="43">
        <v>25569.042183379628</v>
      </c>
      <c r="R116" s="3" t="s">
        <v>961</v>
      </c>
      <c r="S116" s="9">
        <v>3180</v>
      </c>
      <c r="T116" s="3"/>
      <c r="U116" s="3"/>
      <c r="V116" s="590"/>
      <c r="W116" s="43">
        <v>25569.042183379628</v>
      </c>
      <c r="X116" s="69">
        <f>IF(AC116&lt;&gt;"","S"&amp;TEXT(WEEKNUM(AC116,21),"00"),"")</f>
      </c>
      <c r="Y116" s="69">
        <f>IF(Data!$AC111="","",YEAR(Data!$AC111))</f>
      </c>
      <c r="Z116" s="69">
        <f>IF(Data!$AC111="","",MONTH(Data!$AC111))</f>
      </c>
      <c r="AA116" s="31"/>
      <c r="AB116" s="8"/>
      <c r="AC116" s="637"/>
      <c r="AD116" s="9"/>
      <c r="AE116" s="31"/>
      <c r="AF116" s="573"/>
      <c r="AG116" s="3"/>
      <c r="AH116" s="590"/>
      <c r="AI116" s="609">
        <v>6</v>
      </c>
      <c r="AJ116" s="610" t="s">
        <v>745</v>
      </c>
      <c r="AK116" s="590"/>
      <c r="AL116" s="3" t="s">
        <v>962</v>
      </c>
      <c r="AM116" s="590"/>
      <c r="AN116" s="602"/>
      <c r="AO116" s="590"/>
      <c r="AP116" s="610" t="s">
        <v>963</v>
      </c>
      <c r="AQ116" s="590"/>
      <c r="AR116" s="611"/>
      <c r="AS116" s="590"/>
      <c r="AT116" s="612"/>
      <c r="AU116" s="612"/>
      <c r="AV116" s="587"/>
      <c r="AW116" s="588"/>
      <c r="AX116" s="8"/>
      <c r="AY116" s="3"/>
      <c r="AZ116" s="3"/>
      <c r="BA116" s="8"/>
    </row>
    <row x14ac:dyDescent="0.25" r="117" customHeight="1" ht="15">
      <c r="A117" s="614">
        <v>25569.042183194444</v>
      </c>
      <c r="B117" s="569">
        <f>IFERROR(INDEX(Tabelle2[BU],MATCH(tbl_DCFC[[#This Row], [Categorie]],CAT,0)),"")</f>
      </c>
      <c r="C117" s="615">
        <f>IF(D117&lt;&gt;"","S"&amp;TEXT(WEEKNUM(D117,21),"00"),"")</f>
      </c>
      <c r="D117" s="614">
        <v>25569.042183194444</v>
      </c>
      <c r="E117" s="599">
        <v>4753</v>
      </c>
      <c r="F117" s="602" t="s">
        <v>641</v>
      </c>
      <c r="G117" s="602" t="s">
        <v>336</v>
      </c>
      <c r="H117" s="602"/>
      <c r="I117" s="599"/>
      <c r="J117" s="602" t="s">
        <v>281</v>
      </c>
      <c r="K117" s="602" t="s">
        <v>544</v>
      </c>
      <c r="L117" s="616" t="s">
        <v>646</v>
      </c>
      <c r="M117" s="590"/>
      <c r="N117" s="69">
        <f>IF(Q117&lt;&gt;"","S"&amp;TEXT(WEEKNUM(Q117,21),"00"),"")</f>
      </c>
      <c r="O117" s="69">
        <f>IF(Data!$Q112="","",YEAR(Data!$Q112))</f>
      </c>
      <c r="P117" s="69">
        <f>IF(Data!$Q112="","",MONTH(Data!$Q112))</f>
      </c>
      <c r="Q117" s="43">
        <v>25569.042183680554</v>
      </c>
      <c r="R117" s="3" t="s">
        <v>964</v>
      </c>
      <c r="S117" s="9">
        <v>7200</v>
      </c>
      <c r="T117" s="3"/>
      <c r="U117" s="3"/>
      <c r="V117" s="590"/>
      <c r="W117" s="31"/>
      <c r="X117" s="69">
        <f>IF(AC117&lt;&gt;"","S"&amp;TEXT(WEEKNUM(AC117,21),"00"),"")</f>
      </c>
      <c r="Y117" s="69">
        <f>IF(Data!$AC112="","",YEAR(Data!$AC112))</f>
      </c>
      <c r="Z117" s="69">
        <f>IF(Data!$AC112="","",MONTH(Data!$AC112))</f>
      </c>
      <c r="AA117" s="31"/>
      <c r="AB117" s="8"/>
      <c r="AC117" s="637"/>
      <c r="AD117" s="9"/>
      <c r="AE117" s="43">
        <v>25569.042183993057</v>
      </c>
      <c r="AF117" s="573"/>
      <c r="AG117" s="3"/>
      <c r="AH117" s="590"/>
      <c r="AI117" s="609">
        <v>6</v>
      </c>
      <c r="AJ117" s="610" t="s">
        <v>750</v>
      </c>
      <c r="AK117" s="590"/>
      <c r="AL117" s="3" t="s">
        <v>965</v>
      </c>
      <c r="AM117" s="590"/>
      <c r="AN117" s="602"/>
      <c r="AO117" s="590"/>
      <c r="AP117" s="610" t="s">
        <v>966</v>
      </c>
      <c r="AQ117" s="590"/>
      <c r="AR117" s="611"/>
      <c r="AS117" s="590"/>
      <c r="AT117" s="612"/>
      <c r="AU117" s="612"/>
      <c r="AV117" s="587"/>
      <c r="AW117" s="588"/>
      <c r="AX117" s="8"/>
      <c r="AY117" s="3"/>
      <c r="AZ117" s="3"/>
      <c r="BA117" s="8"/>
    </row>
    <row x14ac:dyDescent="0.25" r="118" customHeight="1" ht="15">
      <c r="A118" s="614">
        <v>25569.042183113426</v>
      </c>
      <c r="B118" s="569">
        <f>IFERROR(INDEX(Tabelle2[BU],MATCH(tbl_DCFC[[#This Row], [Categorie]],CAT,0)),"")</f>
      </c>
      <c r="C118" s="615">
        <f>IF(D118&lt;&gt;"","S"&amp;TEXT(WEEKNUM(D118,21),"00"),"")</f>
      </c>
      <c r="D118" s="614">
        <v>25569.04218326389</v>
      </c>
      <c r="E118" s="599">
        <v>4754</v>
      </c>
      <c r="F118" s="602" t="s">
        <v>641</v>
      </c>
      <c r="G118" s="602" t="s">
        <v>862</v>
      </c>
      <c r="H118" s="602"/>
      <c r="I118" s="599">
        <v>1350</v>
      </c>
      <c r="J118" s="602" t="s">
        <v>280</v>
      </c>
      <c r="K118" s="602" t="s">
        <v>548</v>
      </c>
      <c r="L118" s="616" t="s">
        <v>642</v>
      </c>
      <c r="M118" s="590"/>
      <c r="N118" s="69">
        <f>IF(Q118&lt;&gt;"","S"&amp;TEXT(WEEKNUM(Q118,21),"00"),"")</f>
      </c>
      <c r="O118" s="69">
        <f>IF(Data!$Q114="","",YEAR(Data!$Q114))</f>
      </c>
      <c r="P118" s="69">
        <f>IF(Data!$Q114="","",MONTH(Data!$Q114))</f>
      </c>
      <c r="Q118" s="637"/>
      <c r="R118" s="3"/>
      <c r="S118" s="8"/>
      <c r="T118" s="3"/>
      <c r="U118" s="3"/>
      <c r="V118" s="590"/>
      <c r="W118" s="31"/>
      <c r="X118" s="69">
        <f>IF(AC118&lt;&gt;"","S"&amp;TEXT(WEEKNUM(AC118,21),"00"),"")</f>
      </c>
      <c r="Y118" s="69">
        <f>IF(Data!$AC114="","",YEAR(Data!$AC114))</f>
      </c>
      <c r="Z118" s="69">
        <f>IF(Data!$AC114="","",MONTH(Data!$AC114))</f>
      </c>
      <c r="AA118" s="31"/>
      <c r="AB118" s="8"/>
      <c r="AC118" s="637"/>
      <c r="AD118" s="9"/>
      <c r="AE118" s="31"/>
      <c r="AF118" s="573"/>
      <c r="AG118" s="3"/>
      <c r="AH118" s="590"/>
      <c r="AI118" s="609">
        <v>1</v>
      </c>
      <c r="AJ118" s="610" t="s">
        <v>967</v>
      </c>
      <c r="AK118" s="590"/>
      <c r="AL118" s="3"/>
      <c r="AM118" s="590"/>
      <c r="AN118" s="602"/>
      <c r="AO118" s="590"/>
      <c r="AP118" s="610" t="s">
        <v>968</v>
      </c>
      <c r="AQ118" s="590"/>
      <c r="AR118" s="611"/>
      <c r="AS118" s="590"/>
      <c r="AT118" s="612"/>
      <c r="AU118" s="612"/>
      <c r="AV118" s="587"/>
      <c r="AW118" s="588"/>
      <c r="AX118" s="8"/>
      <c r="AY118" s="3"/>
      <c r="AZ118" s="3"/>
      <c r="BA118" s="8"/>
    </row>
    <row x14ac:dyDescent="0.25" r="119" customHeight="1" ht="15">
      <c r="A119" s="614">
        <v>25569.042183113426</v>
      </c>
      <c r="B119" s="569">
        <f>IFERROR(INDEX(Tabelle2[BU],MATCH(tbl_DCFC[[#This Row], [Categorie]],CAT,0)),"")</f>
      </c>
      <c r="C119" s="615">
        <f>IF(D119&lt;&gt;"","S"&amp;TEXT(WEEKNUM(D119,21),"00"),"")</f>
      </c>
      <c r="D119" s="614">
        <v>25569.04218326389</v>
      </c>
      <c r="E119" s="599">
        <v>4755</v>
      </c>
      <c r="F119" s="602" t="s">
        <v>641</v>
      </c>
      <c r="G119" s="602" t="s">
        <v>862</v>
      </c>
      <c r="H119" s="602"/>
      <c r="I119" s="599">
        <v>825</v>
      </c>
      <c r="J119" s="602" t="s">
        <v>280</v>
      </c>
      <c r="K119" s="602" t="s">
        <v>548</v>
      </c>
      <c r="L119" s="616" t="s">
        <v>642</v>
      </c>
      <c r="M119" s="590"/>
      <c r="N119" s="69">
        <f>IF(Q119&lt;&gt;"","S"&amp;TEXT(WEEKNUM(Q119,21),"00"),"")</f>
      </c>
      <c r="O119" s="69">
        <f>IF(Data!$Q115="","",YEAR(Data!$Q115))</f>
      </c>
      <c r="P119" s="69">
        <f>IF(Data!$Q115="","",MONTH(Data!$Q115))</f>
      </c>
      <c r="Q119" s="637"/>
      <c r="R119" s="3"/>
      <c r="S119" s="8"/>
      <c r="T119" s="3"/>
      <c r="U119" s="3"/>
      <c r="V119" s="590"/>
      <c r="W119" s="31"/>
      <c r="X119" s="69">
        <f>IF(AC119&lt;&gt;"","S"&amp;TEXT(WEEKNUM(AC119,21),"00"),"")</f>
      </c>
      <c r="Y119" s="69">
        <f>IF(Data!$AC115="","",YEAR(Data!$AC115))</f>
      </c>
      <c r="Z119" s="69">
        <f>IF(Data!$AC115="","",MONTH(Data!$AC115))</f>
      </c>
      <c r="AA119" s="31"/>
      <c r="AB119" s="8"/>
      <c r="AC119" s="637"/>
      <c r="AD119" s="9"/>
      <c r="AE119" s="31"/>
      <c r="AF119" s="573"/>
      <c r="AG119" s="3"/>
      <c r="AH119" s="590"/>
      <c r="AI119" s="609">
        <v>1</v>
      </c>
      <c r="AJ119" s="610" t="s">
        <v>969</v>
      </c>
      <c r="AK119" s="590"/>
      <c r="AL119" s="3"/>
      <c r="AM119" s="590"/>
      <c r="AN119" s="602"/>
      <c r="AO119" s="590"/>
      <c r="AP119" s="610" t="s">
        <v>970</v>
      </c>
      <c r="AQ119" s="590"/>
      <c r="AR119" s="611"/>
      <c r="AS119" s="590"/>
      <c r="AT119" s="612"/>
      <c r="AU119" s="612"/>
      <c r="AV119" s="587">
        <f>IF(AT119="","",S119-AT119-AU119)</f>
      </c>
      <c r="AW119" s="588">
        <f>IFERROR(IF(tbl_DCFC[[#This Row], [F Montant HT]]="","",tbl_DCFC[[#This Row], [Marge]]/tbl_DCFC[[#This Row], [F Montant HT]]),"")</f>
      </c>
      <c r="AX119" s="8"/>
      <c r="AY119" s="3"/>
      <c r="AZ119" s="3"/>
      <c r="BA119" s="8"/>
    </row>
    <row x14ac:dyDescent="0.25" r="120" customHeight="1" ht="15">
      <c r="A120" s="614">
        <v>25569.042183113426</v>
      </c>
      <c r="B120" s="569">
        <f>IFERROR(INDEX(Tabelle2[BU],MATCH(tbl_DCFC[[#This Row], [Categorie]],CAT,0)),"")</f>
      </c>
      <c r="C120" s="615">
        <f>IF(D120&lt;&gt;"","S"&amp;TEXT(WEEKNUM(D120,21),"00"),"")</f>
      </c>
      <c r="D120" s="614">
        <v>25569.04218326389</v>
      </c>
      <c r="E120" s="599">
        <v>4756</v>
      </c>
      <c r="F120" s="602" t="s">
        <v>641</v>
      </c>
      <c r="G120" s="602" t="s">
        <v>862</v>
      </c>
      <c r="H120" s="602"/>
      <c r="I120" s="599">
        <v>1495</v>
      </c>
      <c r="J120" s="602" t="s">
        <v>280</v>
      </c>
      <c r="K120" s="602" t="s">
        <v>548</v>
      </c>
      <c r="L120" s="616" t="s">
        <v>642</v>
      </c>
      <c r="M120" s="590"/>
      <c r="N120" s="69">
        <f>IF(Q120&lt;&gt;"","S"&amp;TEXT(WEEKNUM(Q120,21),"00"),"")</f>
      </c>
      <c r="O120" s="69">
        <f>IF(Data!$Q116="","",YEAR(Data!$Q116))</f>
      </c>
      <c r="P120" s="69">
        <f>IF(Data!$Q116="","",MONTH(Data!$Q116))</f>
      </c>
      <c r="Q120" s="637"/>
      <c r="R120" s="3"/>
      <c r="S120" s="8"/>
      <c r="T120" s="3"/>
      <c r="U120" s="3"/>
      <c r="V120" s="590"/>
      <c r="W120" s="31"/>
      <c r="X120" s="69">
        <f>IF(AC120&lt;&gt;"","S"&amp;TEXT(WEEKNUM(AC120,21),"00"),"")</f>
      </c>
      <c r="Y120" s="69">
        <f>IF(Data!$AC116="","",YEAR(Data!$AC116))</f>
      </c>
      <c r="Z120" s="69">
        <f>IF(Data!$AC116="","",MONTH(Data!$AC116))</f>
      </c>
      <c r="AA120" s="31"/>
      <c r="AB120" s="8"/>
      <c r="AC120" s="637"/>
      <c r="AD120" s="9"/>
      <c r="AE120" s="31"/>
      <c r="AF120" s="573"/>
      <c r="AG120" s="3"/>
      <c r="AH120" s="590"/>
      <c r="AI120" s="609">
        <v>1</v>
      </c>
      <c r="AJ120" s="610" t="s">
        <v>971</v>
      </c>
      <c r="AK120" s="590"/>
      <c r="AL120" s="3"/>
      <c r="AM120" s="590"/>
      <c r="AN120" s="602"/>
      <c r="AO120" s="590"/>
      <c r="AP120" s="610" t="s">
        <v>972</v>
      </c>
      <c r="AQ120" s="590"/>
      <c r="AR120" s="611"/>
      <c r="AS120" s="590"/>
      <c r="AT120" s="612"/>
      <c r="AU120" s="612"/>
      <c r="AV120" s="587"/>
      <c r="AW120" s="588"/>
      <c r="AX120" s="8"/>
      <c r="AY120" s="3"/>
      <c r="AZ120" s="3"/>
      <c r="BA120" s="8"/>
    </row>
    <row x14ac:dyDescent="0.25" r="121" customHeight="1" ht="15">
      <c r="A121" s="614">
        <v>25569.042183113426</v>
      </c>
      <c r="B121" s="569">
        <f>IFERROR(INDEX(Tabelle2[BU],MATCH(tbl_DCFC[[#This Row], [Categorie]],CAT,0)),"")</f>
      </c>
      <c r="C121" s="615">
        <f>IF(D121&lt;&gt;"","S"&amp;TEXT(WEEKNUM(D121,21),"00"),"")</f>
      </c>
      <c r="D121" s="614">
        <v>25569.04218326389</v>
      </c>
      <c r="E121" s="599">
        <v>4757</v>
      </c>
      <c r="F121" s="602" t="s">
        <v>641</v>
      </c>
      <c r="G121" s="602" t="s">
        <v>862</v>
      </c>
      <c r="H121" s="602"/>
      <c r="I121" s="599">
        <v>2750</v>
      </c>
      <c r="J121" s="602" t="s">
        <v>280</v>
      </c>
      <c r="K121" s="602" t="s">
        <v>548</v>
      </c>
      <c r="L121" s="616" t="s">
        <v>642</v>
      </c>
      <c r="M121" s="590"/>
      <c r="N121" s="69">
        <f>IF(Q121&lt;&gt;"","S"&amp;TEXT(WEEKNUM(Q121,21),"00"),"")</f>
      </c>
      <c r="O121" s="69">
        <f>IF(Data!$Q117="","",YEAR(Data!$Q117))</f>
      </c>
      <c r="P121" s="69">
        <f>IF(Data!$Q117="","",MONTH(Data!$Q117))</f>
      </c>
      <c r="Q121" s="637"/>
      <c r="R121" s="3"/>
      <c r="S121" s="8"/>
      <c r="T121" s="3"/>
      <c r="U121" s="3"/>
      <c r="V121" s="590"/>
      <c r="W121" s="31"/>
      <c r="X121" s="69">
        <f>IF(AC121&lt;&gt;"","S"&amp;TEXT(WEEKNUM(AC121,21),"00"),"")</f>
      </c>
      <c r="Y121" s="69">
        <f>IF(Data!$AC117="","",YEAR(Data!$AC117))</f>
      </c>
      <c r="Z121" s="69">
        <f>IF(Data!$AC117="","",MONTH(Data!$AC117))</f>
      </c>
      <c r="AA121" s="31"/>
      <c r="AB121" s="8"/>
      <c r="AC121" s="637"/>
      <c r="AD121" s="9"/>
      <c r="AE121" s="31"/>
      <c r="AF121" s="573"/>
      <c r="AG121" s="3"/>
      <c r="AH121" s="590"/>
      <c r="AI121" s="609">
        <v>1</v>
      </c>
      <c r="AJ121" s="610" t="s">
        <v>973</v>
      </c>
      <c r="AK121" s="590"/>
      <c r="AL121" s="3"/>
      <c r="AM121" s="590"/>
      <c r="AN121" s="602"/>
      <c r="AO121" s="590"/>
      <c r="AP121" s="610" t="s">
        <v>974</v>
      </c>
      <c r="AQ121" s="590"/>
      <c r="AR121" s="611"/>
      <c r="AS121" s="590"/>
      <c r="AT121" s="612"/>
      <c r="AU121" s="612"/>
      <c r="AV121" s="587"/>
      <c r="AW121" s="588"/>
      <c r="AX121" s="8"/>
      <c r="AY121" s="3"/>
      <c r="AZ121" s="3"/>
      <c r="BA121" s="8"/>
    </row>
    <row x14ac:dyDescent="0.25" r="122" customHeight="1" ht="15">
      <c r="A122" s="614">
        <v>25569.04218326389</v>
      </c>
      <c r="B122" s="569">
        <f>IFERROR(INDEX(Tabelle2[BU],MATCH(tbl_DCFC[[#This Row], [Categorie]],CAT,0)),"")</f>
      </c>
      <c r="C122" s="615">
        <f>IF(D122&lt;&gt;"","S"&amp;TEXT(WEEKNUM(D122,21),"00"),"")</f>
      </c>
      <c r="D122" s="614">
        <v>25569.04218326389</v>
      </c>
      <c r="E122" s="599">
        <v>4758</v>
      </c>
      <c r="F122" s="602" t="s">
        <v>641</v>
      </c>
      <c r="G122" s="602" t="s">
        <v>760</v>
      </c>
      <c r="H122" s="602"/>
      <c r="I122" s="599">
        <v>2396</v>
      </c>
      <c r="J122" s="602" t="s">
        <v>281</v>
      </c>
      <c r="K122" s="602" t="s">
        <v>548</v>
      </c>
      <c r="L122" s="616" t="s">
        <v>646</v>
      </c>
      <c r="M122" s="590"/>
      <c r="N122" s="69">
        <f>IF(Q122&lt;&gt;"","S"&amp;TEXT(WEEKNUM(Q122,21),"00"),"")</f>
      </c>
      <c r="O122" s="69">
        <f>IF(Data!$Q118="","",YEAR(Data!$Q118))</f>
      </c>
      <c r="P122" s="69">
        <f>IF(Data!$Q118="","",MONTH(Data!$Q118))</f>
      </c>
      <c r="Q122" s="43">
        <v>25569.04218326389</v>
      </c>
      <c r="R122" s="3" t="s">
        <v>975</v>
      </c>
      <c r="S122" s="9">
        <v>2396</v>
      </c>
      <c r="T122" s="3"/>
      <c r="U122" s="3"/>
      <c r="V122" s="590"/>
      <c r="W122" s="43">
        <v>25569.042183287038</v>
      </c>
      <c r="X122" s="69">
        <f>IF(AC122&lt;&gt;"","S"&amp;TEXT(WEEKNUM(AC122,21),"00"),"")</f>
      </c>
      <c r="Y122" s="69">
        <f>IF(Data!$AC118="","",YEAR(Data!$AC118))</f>
      </c>
      <c r="Z122" s="69">
        <f>IF(Data!$AC118="","",MONTH(Data!$AC118))</f>
      </c>
      <c r="AA122" s="31"/>
      <c r="AB122" s="8"/>
      <c r="AC122" s="637"/>
      <c r="AD122" s="9"/>
      <c r="AE122" s="43">
        <v>25569.04218371528</v>
      </c>
      <c r="AF122" s="573"/>
      <c r="AG122" s="3"/>
      <c r="AH122" s="590"/>
      <c r="AI122" s="609">
        <v>1</v>
      </c>
      <c r="AJ122" s="610" t="s">
        <v>976</v>
      </c>
      <c r="AK122" s="590"/>
      <c r="AL122" s="3"/>
      <c r="AM122" s="590"/>
      <c r="AN122" s="602"/>
      <c r="AO122" s="590"/>
      <c r="AP122" s="610" t="s">
        <v>977</v>
      </c>
      <c r="AQ122" s="590"/>
      <c r="AR122" s="611"/>
      <c r="AS122" s="590"/>
      <c r="AT122" s="612"/>
      <c r="AU122" s="612"/>
      <c r="AV122" s="587">
        <f>IF(AT122="","",S122-AT122-AU122)</f>
      </c>
      <c r="AW122" s="588">
        <f>IFERROR(IF(tbl_DCFC[[#This Row], [F Montant HT]]="","",tbl_DCFC[[#This Row], [Marge]]/tbl_DCFC[[#This Row], [F Montant HT]]),"")</f>
      </c>
      <c r="AX122" s="8"/>
      <c r="AY122" s="3"/>
      <c r="AZ122" s="3"/>
      <c r="BA122" s="8"/>
    </row>
    <row x14ac:dyDescent="0.25" r="123" customHeight="1" ht="15">
      <c r="A123" s="614">
        <v>25569.04218326389</v>
      </c>
      <c r="B123" s="569">
        <f>IFERROR(INDEX(Tabelle2[BU],MATCH(tbl_DCFC[[#This Row], [Categorie]],CAT,0)),"")</f>
      </c>
      <c r="C123" s="615">
        <f>IF(D123&lt;&gt;"","S"&amp;TEXT(WEEKNUM(D123,21),"00"),"")</f>
      </c>
      <c r="D123" s="614">
        <v>25569.04218326389</v>
      </c>
      <c r="E123" s="599">
        <v>4759</v>
      </c>
      <c r="F123" s="602" t="s">
        <v>641</v>
      </c>
      <c r="G123" s="602" t="s">
        <v>978</v>
      </c>
      <c r="H123" s="602"/>
      <c r="I123" s="599"/>
      <c r="J123" s="602" t="s">
        <v>280</v>
      </c>
      <c r="K123" s="602" t="s">
        <v>548</v>
      </c>
      <c r="L123" s="616" t="s">
        <v>642</v>
      </c>
      <c r="M123" s="590"/>
      <c r="N123" s="69">
        <f>IF(Q123&lt;&gt;"","S"&amp;TEXT(WEEKNUM(Q123,21),"00"),"")</f>
      </c>
      <c r="O123" s="69">
        <f>IF(Data!$Q119="","",YEAR(Data!$Q119))</f>
      </c>
      <c r="P123" s="69">
        <f>IF(Data!$Q119="","",MONTH(Data!$Q119))</f>
      </c>
      <c r="Q123" s="637"/>
      <c r="R123" s="3"/>
      <c r="S123" s="8"/>
      <c r="T123" s="3"/>
      <c r="U123" s="3"/>
      <c r="V123" s="590"/>
      <c r="W123" s="43">
        <v>25569.042183379628</v>
      </c>
      <c r="X123" s="69">
        <f>IF(AC123&lt;&gt;"","S"&amp;TEXT(WEEKNUM(AC123,21),"00"),"")</f>
      </c>
      <c r="Y123" s="69">
        <f>IF(Data!$AC119="","",YEAR(Data!$AC119))</f>
      </c>
      <c r="Z123" s="69">
        <f>IF(Data!$AC119="","",MONTH(Data!$AC119))</f>
      </c>
      <c r="AA123" s="31"/>
      <c r="AB123" s="8"/>
      <c r="AC123" s="637"/>
      <c r="AD123" s="9"/>
      <c r="AE123" s="31"/>
      <c r="AF123" s="573"/>
      <c r="AG123" s="3"/>
      <c r="AH123" s="590"/>
      <c r="AI123" s="609">
        <v>2</v>
      </c>
      <c r="AJ123" s="610" t="s">
        <v>979</v>
      </c>
      <c r="AK123" s="590"/>
      <c r="AL123" s="3"/>
      <c r="AM123" s="590"/>
      <c r="AN123" s="602"/>
      <c r="AO123" s="590"/>
      <c r="AP123" s="610" t="s">
        <v>980</v>
      </c>
      <c r="AQ123" s="590"/>
      <c r="AR123" s="611"/>
      <c r="AS123" s="590"/>
      <c r="AT123" s="612"/>
      <c r="AU123" s="612"/>
      <c r="AV123" s="587">
        <f>IF(AT123="","",S123-AT123-AU123)</f>
      </c>
      <c r="AW123" s="588">
        <f>IFERROR(IF(tbl_DCFC[[#This Row], [F Montant HT]]="","",tbl_DCFC[[#This Row], [Marge]]/tbl_DCFC[[#This Row], [F Montant HT]]),"")</f>
      </c>
      <c r="AX123" s="8"/>
      <c r="AY123" s="3"/>
      <c r="AZ123" s="3"/>
      <c r="BA123" s="8"/>
    </row>
    <row x14ac:dyDescent="0.25" r="124" customHeight="1" ht="15">
      <c r="A124" s="614">
        <v>25569.042183287038</v>
      </c>
      <c r="B124" s="569">
        <f>IFERROR(INDEX(Tabelle2[BU],MATCH(tbl_DCFC[[#This Row], [Categorie]],CAT,0)),"")</f>
      </c>
      <c r="C124" s="615">
        <f>IF(D124&lt;&gt;"","S"&amp;TEXT(WEEKNUM(D124,21),"00"),"")</f>
      </c>
      <c r="D124" s="614">
        <v>25569.042183287038</v>
      </c>
      <c r="E124" s="599">
        <v>4760</v>
      </c>
      <c r="F124" s="602" t="s">
        <v>641</v>
      </c>
      <c r="G124" s="602" t="s">
        <v>981</v>
      </c>
      <c r="H124" s="602"/>
      <c r="I124" s="599"/>
      <c r="J124" s="602"/>
      <c r="K124" s="602" t="s">
        <v>548</v>
      </c>
      <c r="L124" s="616" t="s">
        <v>774</v>
      </c>
      <c r="M124" s="590"/>
      <c r="N124" s="69">
        <f>IF(Q124&lt;&gt;"","S"&amp;TEXT(WEEKNUM(Q124,21),"00"),"")</f>
      </c>
      <c r="O124" s="69">
        <f>IF(Data!#REF!="","",YEAR(Data!#REF!))</f>
      </c>
      <c r="P124" s="69">
        <f>IF(Data!#REF!="","",MONTH(Data!#REF!))</f>
      </c>
      <c r="Q124" s="637"/>
      <c r="R124" s="3"/>
      <c r="S124" s="8"/>
      <c r="T124" s="3"/>
      <c r="U124" s="3"/>
      <c r="V124" s="590"/>
      <c r="W124" s="31"/>
      <c r="X124" s="69">
        <f>IF(AC124&lt;&gt;"","S"&amp;TEXT(WEEKNUM(AC124,21),"00"),"")</f>
      </c>
      <c r="Y124" s="69">
        <f>IF(Data!#REF!="","",YEAR(Data!#REF!))</f>
      </c>
      <c r="Z124" s="69">
        <f>IF(Data!#REF!="","",MONTH(Data!#REF!))</f>
      </c>
      <c r="AA124" s="31"/>
      <c r="AB124" s="8"/>
      <c r="AC124" s="637"/>
      <c r="AD124" s="9"/>
      <c r="AE124" s="31"/>
      <c r="AF124" s="573"/>
      <c r="AG124" s="3"/>
      <c r="AH124" s="590"/>
      <c r="AI124" s="609">
        <v>1</v>
      </c>
      <c r="AJ124" s="610" t="s">
        <v>982</v>
      </c>
      <c r="AK124" s="590"/>
      <c r="AL124" s="3"/>
      <c r="AM124" s="590"/>
      <c r="AN124" s="602"/>
      <c r="AO124" s="590"/>
      <c r="AP124" s="610" t="s">
        <v>983</v>
      </c>
      <c r="AQ124" s="590"/>
      <c r="AR124" s="611"/>
      <c r="AS124" s="590"/>
      <c r="AT124" s="612"/>
      <c r="AU124" s="612"/>
      <c r="AV124" s="587">
        <f>IF(AT124="","",S124-AT124-AU124)</f>
      </c>
      <c r="AW124" s="588">
        <f>IFERROR(IF(tbl_DCFC[[#This Row], [F Montant HT]]="","",tbl_DCFC[[#This Row], [Marge]]/tbl_DCFC[[#This Row], [F Montant HT]]),"")</f>
      </c>
      <c r="AX124" s="8"/>
      <c r="AY124" s="3"/>
      <c r="AZ124" s="3"/>
      <c r="BA124" s="8"/>
    </row>
    <row x14ac:dyDescent="0.25" r="125" customHeight="1" ht="15">
      <c r="A125" s="614">
        <v>25569.042183425925</v>
      </c>
      <c r="B125" s="569">
        <f>IFERROR(INDEX(Tabelle2[BU],MATCH(tbl_DCFC[[#This Row], [Categorie]],CAT,0)),"")</f>
      </c>
      <c r="C125" s="615">
        <f>IF(D125&lt;&gt;"","S"&amp;TEXT(WEEKNUM(D125,21),"00"),"")</f>
      </c>
      <c r="D125" s="614">
        <v>25569.042183425925</v>
      </c>
      <c r="E125" s="599">
        <v>4761</v>
      </c>
      <c r="F125" s="602" t="s">
        <v>641</v>
      </c>
      <c r="G125" s="602" t="s">
        <v>645</v>
      </c>
      <c r="H125" s="602"/>
      <c r="I125" s="599"/>
      <c r="J125" s="602"/>
      <c r="K125" s="602" t="s">
        <v>550</v>
      </c>
      <c r="L125" s="616" t="s">
        <v>774</v>
      </c>
      <c r="M125" s="590"/>
      <c r="N125" s="69">
        <f>IF(Q125&lt;&gt;"","S"&amp;TEXT(WEEKNUM(Q125,21),"00"),"")</f>
      </c>
      <c r="O125" s="69">
        <f>IF(Data!#REF!="","",YEAR(Data!#REF!))</f>
      </c>
      <c r="P125" s="69">
        <f>IF(Data!#REF!="","",MONTH(Data!#REF!))</f>
      </c>
      <c r="Q125" s="637"/>
      <c r="R125" s="3"/>
      <c r="S125" s="8"/>
      <c r="T125" s="3"/>
      <c r="U125" s="3"/>
      <c r="V125" s="590"/>
      <c r="W125" s="31"/>
      <c r="X125" s="69">
        <f>IF(AC125&lt;&gt;"","S"&amp;TEXT(WEEKNUM(AC125,21),"00"),"")</f>
      </c>
      <c r="Y125" s="69">
        <f>IF(Data!#REF!="","",YEAR(Data!#REF!))</f>
      </c>
      <c r="Z125" s="69">
        <f>IF(Data!#REF!="","",MONTH(Data!#REF!))</f>
      </c>
      <c r="AA125" s="31"/>
      <c r="AB125" s="8"/>
      <c r="AC125" s="637"/>
      <c r="AD125" s="9"/>
      <c r="AE125" s="31"/>
      <c r="AF125" s="573"/>
      <c r="AG125" s="3"/>
      <c r="AH125" s="590"/>
      <c r="AI125" s="609">
        <v>1</v>
      </c>
      <c r="AJ125" s="610" t="s">
        <v>984</v>
      </c>
      <c r="AK125" s="590"/>
      <c r="AL125" s="3"/>
      <c r="AM125" s="590"/>
      <c r="AN125" s="602"/>
      <c r="AO125" s="590"/>
      <c r="AP125" s="610" t="s">
        <v>985</v>
      </c>
      <c r="AQ125" s="590"/>
      <c r="AR125" s="611"/>
      <c r="AS125" s="590"/>
      <c r="AT125" s="612"/>
      <c r="AU125" s="612"/>
      <c r="AV125" s="587">
        <f>IF(AT125="","",S125-AT125-AU125)</f>
      </c>
      <c r="AW125" s="588">
        <f>IFERROR(IF(tbl_DCFC[[#This Row], [F Montant HT]]="","",tbl_DCFC[[#This Row], [Marge]]/tbl_DCFC[[#This Row], [F Montant HT]]),"")</f>
      </c>
      <c r="AX125" s="8"/>
      <c r="AY125" s="3"/>
      <c r="AZ125" s="3"/>
      <c r="BA125" s="8"/>
    </row>
    <row x14ac:dyDescent="0.25" r="126" customHeight="1" ht="15">
      <c r="A126" s="614">
        <v>25569.04218353009</v>
      </c>
      <c r="B126" s="569">
        <f>IFERROR(INDEX(Tabelle2[BU],MATCH(tbl_DCFC[[#This Row], [Categorie]],CAT,0)),"")</f>
      </c>
      <c r="C126" s="615">
        <f>IF(D126&lt;&gt;"","S"&amp;TEXT(WEEKNUM(D126,21),"00"),"")</f>
      </c>
      <c r="D126" s="614">
        <v>25569.04218353009</v>
      </c>
      <c r="E126" s="599">
        <v>4762</v>
      </c>
      <c r="F126" s="602" t="s">
        <v>641</v>
      </c>
      <c r="G126" s="602" t="s">
        <v>862</v>
      </c>
      <c r="H126" s="602"/>
      <c r="I126" s="599"/>
      <c r="J126" s="602"/>
      <c r="K126" s="602" t="s">
        <v>548</v>
      </c>
      <c r="L126" s="616" t="s">
        <v>774</v>
      </c>
      <c r="M126" s="590"/>
      <c r="N126" s="69">
        <f>IF(Q126&lt;&gt;"","S"&amp;TEXT(WEEKNUM(Q126,21),"00"),"")</f>
      </c>
      <c r="O126" s="69">
        <f>IF(Data!#REF!="","",YEAR(Data!#REF!))</f>
      </c>
      <c r="P126" s="69">
        <f>IF(Data!#REF!="","",MONTH(Data!#REF!))</f>
      </c>
      <c r="Q126" s="637"/>
      <c r="R126" s="3"/>
      <c r="S126" s="8"/>
      <c r="T126" s="3"/>
      <c r="U126" s="3"/>
      <c r="V126" s="590"/>
      <c r="W126" s="31"/>
      <c r="X126" s="69">
        <f>IF(AC126&lt;&gt;"","S"&amp;TEXT(WEEKNUM(AC126,21),"00"),"")</f>
      </c>
      <c r="Y126" s="69">
        <f>IF(Data!#REF!="","",YEAR(Data!#REF!))</f>
      </c>
      <c r="Z126" s="69">
        <f>IF(Data!#REF!="","",MONTH(Data!#REF!))</f>
      </c>
      <c r="AA126" s="31"/>
      <c r="AB126" s="8"/>
      <c r="AC126" s="637"/>
      <c r="AD126" s="9"/>
      <c r="AE126" s="31"/>
      <c r="AF126" s="573"/>
      <c r="AG126" s="3"/>
      <c r="AH126" s="590"/>
      <c r="AI126" s="609">
        <v>1</v>
      </c>
      <c r="AJ126" s="610" t="s">
        <v>986</v>
      </c>
      <c r="AK126" s="590"/>
      <c r="AL126" s="3"/>
      <c r="AM126" s="590"/>
      <c r="AN126" s="602"/>
      <c r="AO126" s="590"/>
      <c r="AP126" s="610" t="s">
        <v>987</v>
      </c>
      <c r="AQ126" s="590"/>
      <c r="AR126" s="611"/>
      <c r="AS126" s="590"/>
      <c r="AT126" s="612"/>
      <c r="AU126" s="612"/>
      <c r="AV126" s="587">
        <f>IF(AT126="","",S126-AT126-AU126)</f>
      </c>
      <c r="AW126" s="588">
        <f>IFERROR(IF(tbl_DCFC[[#This Row], [F Montant HT]]="","",tbl_DCFC[[#This Row], [Marge]]/tbl_DCFC[[#This Row], [F Montant HT]]),"")</f>
      </c>
      <c r="AX126" s="8"/>
      <c r="AY126" s="3"/>
      <c r="AZ126" s="3"/>
      <c r="BA126" s="8"/>
    </row>
    <row x14ac:dyDescent="0.25" r="127" customHeight="1" ht="15">
      <c r="A127" s="614">
        <v>25569.0421834375</v>
      </c>
      <c r="B127" s="569">
        <f>IFERROR(INDEX(Tabelle2[BU],MATCH(tbl_DCFC[[#This Row], [Categorie]],CAT,0)),"")</f>
      </c>
      <c r="C127" s="615">
        <f>IF(D127&lt;&gt;"","S"&amp;TEXT(WEEKNUM(D127,21),"00"),"")</f>
      </c>
      <c r="D127" s="614">
        <v>25569.0421834375</v>
      </c>
      <c r="E127" s="599">
        <v>4763</v>
      </c>
      <c r="F127" s="602" t="s">
        <v>641</v>
      </c>
      <c r="G127" s="602" t="s">
        <v>862</v>
      </c>
      <c r="H127" s="602"/>
      <c r="I127" s="599"/>
      <c r="J127" s="602"/>
      <c r="K127" s="602" t="s">
        <v>548</v>
      </c>
      <c r="L127" s="616" t="s">
        <v>774</v>
      </c>
      <c r="M127" s="590"/>
      <c r="N127" s="69">
        <f>IF(Q127&lt;&gt;"","S"&amp;TEXT(WEEKNUM(Q127,21),"00"),"")</f>
      </c>
      <c r="O127" s="69">
        <f>IF(Data!#REF!="","",YEAR(Data!#REF!))</f>
      </c>
      <c r="P127" s="69">
        <f>IF(Data!#REF!="","",MONTH(Data!#REF!))</f>
      </c>
      <c r="Q127" s="637"/>
      <c r="R127" s="3"/>
      <c r="S127" s="8"/>
      <c r="T127" s="3"/>
      <c r="U127" s="3"/>
      <c r="V127" s="590"/>
      <c r="W127" s="31"/>
      <c r="X127" s="69">
        <f>IF(AC127&lt;&gt;"","S"&amp;TEXT(WEEKNUM(AC127,21),"00"),"")</f>
      </c>
      <c r="Y127" s="69">
        <f>IF(Data!#REF!="","",YEAR(Data!#REF!))</f>
      </c>
      <c r="Z127" s="69">
        <f>IF(Data!#REF!="","",MONTH(Data!#REF!))</f>
      </c>
      <c r="AA127" s="31"/>
      <c r="AB127" s="8"/>
      <c r="AC127" s="637"/>
      <c r="AD127" s="9"/>
      <c r="AE127" s="31"/>
      <c r="AF127" s="573"/>
      <c r="AG127" s="3"/>
      <c r="AH127" s="590"/>
      <c r="AI127" s="609">
        <v>1</v>
      </c>
      <c r="AJ127" s="610" t="s">
        <v>988</v>
      </c>
      <c r="AK127" s="590"/>
      <c r="AL127" s="3"/>
      <c r="AM127" s="590"/>
      <c r="AN127" s="602"/>
      <c r="AO127" s="590"/>
      <c r="AP127" s="610" t="s">
        <v>989</v>
      </c>
      <c r="AQ127" s="590"/>
      <c r="AR127" s="611"/>
      <c r="AS127" s="590"/>
      <c r="AT127" s="612"/>
      <c r="AU127" s="612"/>
      <c r="AV127" s="587">
        <f>IF(AT127="","",S127-AT127-AU127)</f>
      </c>
      <c r="AW127" s="588">
        <f>IFERROR(IF(tbl_DCFC[[#This Row], [F Montant HT]]="","",tbl_DCFC[[#This Row], [Marge]]/tbl_DCFC[[#This Row], [F Montant HT]]),"")</f>
      </c>
      <c r="AX127" s="8"/>
      <c r="AY127" s="3"/>
      <c r="AZ127" s="3"/>
      <c r="BA127" s="8"/>
    </row>
    <row x14ac:dyDescent="0.25" r="128" customHeight="1" ht="15">
      <c r="A128" s="614">
        <v>25569.0421834375</v>
      </c>
      <c r="B128" s="569">
        <f>IFERROR(INDEX(Tabelle2[BU],MATCH(tbl_DCFC[[#This Row], [Categorie]],CAT,0)),"")</f>
      </c>
      <c r="C128" s="615">
        <f>IF(D128&lt;&gt;"","S"&amp;TEXT(WEEKNUM(D128,21),"00"),"")</f>
      </c>
      <c r="D128" s="614">
        <v>25569.0421834375</v>
      </c>
      <c r="E128" s="599">
        <v>4764</v>
      </c>
      <c r="F128" s="602" t="s">
        <v>641</v>
      </c>
      <c r="G128" s="602" t="s">
        <v>336</v>
      </c>
      <c r="H128" s="602"/>
      <c r="I128" s="599">
        <v>3180</v>
      </c>
      <c r="J128" s="602" t="s">
        <v>281</v>
      </c>
      <c r="K128" s="602" t="s">
        <v>544</v>
      </c>
      <c r="L128" s="616" t="s">
        <v>646</v>
      </c>
      <c r="M128" s="590"/>
      <c r="N128" s="69">
        <f>IF(Q128&lt;&gt;"","S"&amp;TEXT(WEEKNUM(Q128,21),"00"),"")</f>
      </c>
      <c r="O128" s="69">
        <f>IF(Data!$Q126="","",YEAR(Data!$Q126))</f>
      </c>
      <c r="P128" s="69">
        <f>IF(Data!$Q126="","",MONTH(Data!$Q126))</f>
      </c>
      <c r="Q128" s="43">
        <v>25569.04218355324</v>
      </c>
      <c r="R128" s="3" t="s">
        <v>990</v>
      </c>
      <c r="S128" s="9">
        <v>3180</v>
      </c>
      <c r="T128" s="3"/>
      <c r="U128" s="3"/>
      <c r="V128" s="590"/>
      <c r="W128" s="31"/>
      <c r="X128" s="69">
        <f>IF(AC128&lt;&gt;"","S"&amp;TEXT(WEEKNUM(AC128,21),"00"),"")</f>
      </c>
      <c r="Y128" s="69">
        <f>IF(Data!$AC126="","",YEAR(Data!$AC126))</f>
      </c>
      <c r="Z128" s="69">
        <f>IF(Data!$AC126="","",MONTH(Data!$AC126))</f>
      </c>
      <c r="AA128" s="31"/>
      <c r="AB128" s="8"/>
      <c r="AC128" s="637"/>
      <c r="AD128" s="9"/>
      <c r="AE128" s="43">
        <v>25569.042184340276</v>
      </c>
      <c r="AF128" s="573"/>
      <c r="AG128" s="3"/>
      <c r="AH128" s="590"/>
      <c r="AI128" s="609">
        <v>6</v>
      </c>
      <c r="AJ128" s="610" t="s">
        <v>745</v>
      </c>
      <c r="AK128" s="590"/>
      <c r="AL128" s="3" t="s">
        <v>991</v>
      </c>
      <c r="AM128" s="590"/>
      <c r="AN128" s="602"/>
      <c r="AO128" s="590"/>
      <c r="AP128" s="610" t="s">
        <v>992</v>
      </c>
      <c r="AQ128" s="590"/>
      <c r="AR128" s="611"/>
      <c r="AS128" s="590"/>
      <c r="AT128" s="612"/>
      <c r="AU128" s="612"/>
      <c r="AV128" s="587">
        <f>IF(AT128="","",S128-AT128-AU128)</f>
      </c>
      <c r="AW128" s="588">
        <f>IFERROR(IF(tbl_DCFC[[#This Row], [F Montant HT]]="","",tbl_DCFC[[#This Row], [Marge]]/tbl_DCFC[[#This Row], [F Montant HT]]),"")</f>
      </c>
      <c r="AX128" s="8"/>
      <c r="AY128" s="3"/>
      <c r="AZ128" s="3"/>
      <c r="BA128" s="8"/>
    </row>
    <row x14ac:dyDescent="0.25" r="129" customHeight="1" ht="15">
      <c r="A129" s="614">
        <v>25569.0421834375</v>
      </c>
      <c r="B129" s="569">
        <f>IFERROR(INDEX(Tabelle2[BU],MATCH(tbl_DCFC[[#This Row], [Categorie]],CAT,0)),"")</f>
      </c>
      <c r="C129" s="615">
        <f>IF(D129&lt;&gt;"","S"&amp;TEXT(WEEKNUM(D129,21),"00"),"")</f>
      </c>
      <c r="D129" s="614">
        <v>25569.0421834375</v>
      </c>
      <c r="E129" s="599">
        <v>4765</v>
      </c>
      <c r="F129" s="602" t="s">
        <v>641</v>
      </c>
      <c r="G129" s="602" t="s">
        <v>336</v>
      </c>
      <c r="H129" s="602"/>
      <c r="I129" s="599"/>
      <c r="J129" s="602" t="s">
        <v>281</v>
      </c>
      <c r="K129" s="602" t="s">
        <v>544</v>
      </c>
      <c r="L129" s="616" t="s">
        <v>774</v>
      </c>
      <c r="M129" s="590"/>
      <c r="N129" s="69">
        <f>IF(Q129&lt;&gt;"","S"&amp;TEXT(WEEKNUM(Q129,21),"00"),"")</f>
      </c>
      <c r="O129" s="69">
        <f>IF(Data!$Q127="","",YEAR(Data!$Q127))</f>
      </c>
      <c r="P129" s="69">
        <f>IF(Data!$Q127="","",MONTH(Data!$Q127))</f>
      </c>
      <c r="Q129" s="637"/>
      <c r="R129" s="3"/>
      <c r="S129" s="8"/>
      <c r="T129" s="3"/>
      <c r="U129" s="3"/>
      <c r="V129" s="590"/>
      <c r="W129" s="31"/>
      <c r="X129" s="69">
        <f>IF(AC129&lt;&gt;"","S"&amp;TEXT(WEEKNUM(AC129,21),"00"),"")</f>
      </c>
      <c r="Y129" s="69">
        <f>IF(Data!$AC127="","",YEAR(Data!$AC127))</f>
      </c>
      <c r="Z129" s="69">
        <f>IF(Data!$AC127="","",MONTH(Data!$AC127))</f>
      </c>
      <c r="AA129" s="31"/>
      <c r="AB129" s="8"/>
      <c r="AC129" s="637"/>
      <c r="AD129" s="9"/>
      <c r="AE129" s="31"/>
      <c r="AF129" s="573"/>
      <c r="AG129" s="3"/>
      <c r="AH129" s="590"/>
      <c r="AI129" s="609">
        <v>6</v>
      </c>
      <c r="AJ129" s="610" t="s">
        <v>750</v>
      </c>
      <c r="AK129" s="590"/>
      <c r="AL129" s="3" t="s">
        <v>993</v>
      </c>
      <c r="AM129" s="590"/>
      <c r="AN129" s="602"/>
      <c r="AO129" s="590"/>
      <c r="AP129" s="610" t="s">
        <v>994</v>
      </c>
      <c r="AQ129" s="590"/>
      <c r="AR129" s="611"/>
      <c r="AS129" s="590"/>
      <c r="AT129" s="612"/>
      <c r="AU129" s="612"/>
      <c r="AV129" s="587">
        <f>IF(AT129="","",S129-AT129-AU129)</f>
      </c>
      <c r="AW129" s="588">
        <f>IFERROR(IF(tbl_DCFC[[#This Row], [F Montant HT]]="","",tbl_DCFC[[#This Row], [Marge]]/tbl_DCFC[[#This Row], [F Montant HT]]),"")</f>
      </c>
      <c r="AX129" s="8"/>
      <c r="AY129" s="3"/>
      <c r="AZ129" s="3"/>
      <c r="BA129" s="8"/>
    </row>
    <row x14ac:dyDescent="0.25" r="130" customHeight="1" ht="15">
      <c r="A130" s="614">
        <v>25569.0421834375</v>
      </c>
      <c r="B130" s="569">
        <f>IFERROR(INDEX(Tabelle2[BU],MATCH(tbl_DCFC[[#This Row], [Categorie]],CAT,0)),"")</f>
      </c>
      <c r="C130" s="615">
        <f>IF(D130&lt;&gt;"","S"&amp;TEXT(WEEKNUM(D130,21),"00"),"")</f>
      </c>
      <c r="D130" s="614">
        <v>25569.0421834375</v>
      </c>
      <c r="E130" s="599">
        <v>4766</v>
      </c>
      <c r="F130" s="602" t="s">
        <v>641</v>
      </c>
      <c r="G130" s="602" t="s">
        <v>995</v>
      </c>
      <c r="H130" s="602"/>
      <c r="I130" s="599"/>
      <c r="J130" s="602"/>
      <c r="K130" s="602" t="s">
        <v>548</v>
      </c>
      <c r="L130" s="616" t="s">
        <v>774</v>
      </c>
      <c r="M130" s="590"/>
      <c r="N130" s="69">
        <f>IF(Q130&lt;&gt;"","S"&amp;TEXT(WEEKNUM(Q130,21),"00"),"")</f>
      </c>
      <c r="O130" s="69">
        <f>IF(Data!$Q134="","",YEAR(Data!$Q134))</f>
      </c>
      <c r="P130" s="69">
        <f>IF(Data!$Q134="","",MONTH(Data!$Q134))</f>
      </c>
      <c r="Q130" s="637"/>
      <c r="R130" s="3"/>
      <c r="S130" s="8"/>
      <c r="T130" s="3"/>
      <c r="U130" s="3"/>
      <c r="V130" s="590"/>
      <c r="W130" s="31"/>
      <c r="X130" s="69">
        <f>IF(AC130&lt;&gt;"","S"&amp;TEXT(WEEKNUM(AC130,21),"00"),"")</f>
      </c>
      <c r="Y130" s="69">
        <f>IF(Data!$AC134="","",YEAR(Data!$AC134))</f>
      </c>
      <c r="Z130" s="69">
        <f>IF(Data!$AC134="","",MONTH(Data!$AC134))</f>
      </c>
      <c r="AA130" s="31"/>
      <c r="AB130" s="8"/>
      <c r="AC130" s="637"/>
      <c r="AD130" s="9"/>
      <c r="AE130" s="31"/>
      <c r="AF130" s="573"/>
      <c r="AG130" s="3"/>
      <c r="AH130" s="590"/>
      <c r="AI130" s="609">
        <v>1</v>
      </c>
      <c r="AJ130" s="610" t="s">
        <v>996</v>
      </c>
      <c r="AK130" s="590"/>
      <c r="AL130" s="3"/>
      <c r="AM130" s="590"/>
      <c r="AN130" s="602"/>
      <c r="AO130" s="590"/>
      <c r="AP130" s="610" t="s">
        <v>997</v>
      </c>
      <c r="AQ130" s="590"/>
      <c r="AR130" s="611"/>
      <c r="AS130" s="590"/>
      <c r="AT130" s="612"/>
      <c r="AU130" s="612"/>
      <c r="AV130" s="587">
        <f>IF(AT130="","",S130-AT130-AU130)</f>
      </c>
      <c r="AW130" s="588">
        <f>IFERROR(IF(tbl_DCFC[[#This Row], [F Montant HT]]="","",tbl_DCFC[[#This Row], [Marge]]/tbl_DCFC[[#This Row], [F Montant HT]]),"")</f>
      </c>
      <c r="AX130" s="8"/>
      <c r="AY130" s="3"/>
      <c r="AZ130" s="3"/>
      <c r="BA130" s="8"/>
    </row>
    <row x14ac:dyDescent="0.25" r="131" customHeight="1" ht="15">
      <c r="A131" s="614">
        <v>25569.04218346065</v>
      </c>
      <c r="B131" s="569">
        <f>IFERROR(INDEX(Tabelle2[BU],MATCH(tbl_DCFC[[#This Row], [Categorie]],CAT,0)),"")</f>
      </c>
      <c r="C131" s="615">
        <f>IF(D131&lt;&gt;"","S"&amp;TEXT(WEEKNUM(D131,21),"00"),"")</f>
      </c>
      <c r="D131" s="614">
        <v>25569.04218346065</v>
      </c>
      <c r="E131" s="599">
        <v>4767</v>
      </c>
      <c r="F131" s="602" t="s">
        <v>641</v>
      </c>
      <c r="G131" s="602" t="s">
        <v>862</v>
      </c>
      <c r="H131" s="602"/>
      <c r="I131" s="599"/>
      <c r="J131" s="602"/>
      <c r="K131" s="602" t="s">
        <v>548</v>
      </c>
      <c r="L131" s="616" t="s">
        <v>774</v>
      </c>
      <c r="M131" s="590"/>
      <c r="N131" s="69">
        <f>IF(Q131&lt;&gt;"","S"&amp;TEXT(WEEKNUM(Q131,21),"00"),"")</f>
      </c>
      <c r="O131" s="69">
        <f>IF(Data!$Q135="","",YEAR(Data!$Q135))</f>
      </c>
      <c r="P131" s="69">
        <f>IF(Data!$Q135="","",MONTH(Data!$Q135))</f>
      </c>
      <c r="Q131" s="637"/>
      <c r="R131" s="3"/>
      <c r="S131" s="8"/>
      <c r="T131" s="3"/>
      <c r="U131" s="3"/>
      <c r="V131" s="590"/>
      <c r="W131" s="31"/>
      <c r="X131" s="69">
        <f>IF(AC131&lt;&gt;"","S"&amp;TEXT(WEEKNUM(AC131,21),"00"),"")</f>
      </c>
      <c r="Y131" s="69">
        <f>IF(Data!$AC135="","",YEAR(Data!$AC135))</f>
      </c>
      <c r="Z131" s="69">
        <f>IF(Data!$AC135="","",MONTH(Data!$AC135))</f>
      </c>
      <c r="AA131" s="31"/>
      <c r="AB131" s="8"/>
      <c r="AC131" s="637"/>
      <c r="AD131" s="9"/>
      <c r="AE131" s="31"/>
      <c r="AF131" s="573"/>
      <c r="AG131" s="3"/>
      <c r="AH131" s="590"/>
      <c r="AI131" s="609">
        <v>1</v>
      </c>
      <c r="AJ131" s="610" t="s">
        <v>998</v>
      </c>
      <c r="AK131" s="590"/>
      <c r="AL131" s="3"/>
      <c r="AM131" s="590"/>
      <c r="AN131" s="602"/>
      <c r="AO131" s="590"/>
      <c r="AP131" s="610" t="s">
        <v>999</v>
      </c>
      <c r="AQ131" s="590"/>
      <c r="AR131" s="611"/>
      <c r="AS131" s="590"/>
      <c r="AT131" s="612"/>
      <c r="AU131" s="612"/>
      <c r="AV131" s="587">
        <f>IF(AT131="","",S131-AT131-AU131)</f>
      </c>
      <c r="AW131" s="588">
        <f>IFERROR(IF(tbl_DCFC[[#This Row], [F Montant HT]]="","",tbl_DCFC[[#This Row], [Marge]]/tbl_DCFC[[#This Row], [F Montant HT]]),"")</f>
      </c>
      <c r="AX131" s="8"/>
      <c r="AY131" s="3"/>
      <c r="AZ131" s="3"/>
      <c r="BA131" s="8"/>
    </row>
    <row x14ac:dyDescent="0.25" r="132" customHeight="1" ht="15">
      <c r="A132" s="614">
        <v>25569.04218346065</v>
      </c>
      <c r="B132" s="569">
        <f>IFERROR(INDEX(Tabelle2[BU],MATCH(tbl_DCFC[[#This Row], [Categorie]],CAT,0)),"")</f>
      </c>
      <c r="C132" s="615">
        <f>IF(D132&lt;&gt;"","S"&amp;TEXT(WEEKNUM(D132,21),"00"),"")</f>
      </c>
      <c r="D132" s="614">
        <v>25569.04218346065</v>
      </c>
      <c r="E132" s="599">
        <v>4768</v>
      </c>
      <c r="F132" s="602" t="s">
        <v>641</v>
      </c>
      <c r="G132" s="602" t="s">
        <v>926</v>
      </c>
      <c r="H132" s="602"/>
      <c r="I132" s="599"/>
      <c r="J132" s="602"/>
      <c r="K132" s="602" t="s">
        <v>548</v>
      </c>
      <c r="L132" s="616" t="s">
        <v>774</v>
      </c>
      <c r="M132" s="590"/>
      <c r="N132" s="69">
        <f>IF(Q132&lt;&gt;"","S"&amp;TEXT(WEEKNUM(Q132,21),"00"),"")</f>
      </c>
      <c r="O132" s="69">
        <f>IF(Data!$Q136="","",YEAR(Data!$Q136))</f>
      </c>
      <c r="P132" s="69">
        <f>IF(Data!$Q136="","",MONTH(Data!$Q136))</f>
      </c>
      <c r="Q132" s="637"/>
      <c r="R132" s="3"/>
      <c r="S132" s="8"/>
      <c r="T132" s="3"/>
      <c r="U132" s="3"/>
      <c r="V132" s="590"/>
      <c r="W132" s="31"/>
      <c r="X132" s="69">
        <f>IF(AC132&lt;&gt;"","S"&amp;TEXT(WEEKNUM(AC132,21),"00"),"")</f>
      </c>
      <c r="Y132" s="69">
        <f>IF(Data!$AC136="","",YEAR(Data!$AC136))</f>
      </c>
      <c r="Z132" s="69">
        <f>IF(Data!$AC136="","",MONTH(Data!$AC136))</f>
      </c>
      <c r="AA132" s="31"/>
      <c r="AB132" s="8"/>
      <c r="AC132" s="637"/>
      <c r="AD132" s="9"/>
      <c r="AE132" s="31"/>
      <c r="AF132" s="573"/>
      <c r="AG132" s="3"/>
      <c r="AH132" s="590"/>
      <c r="AI132" s="609">
        <v>1</v>
      </c>
      <c r="AJ132" s="610" t="s">
        <v>1000</v>
      </c>
      <c r="AK132" s="590"/>
      <c r="AL132" s="3" t="s">
        <v>1001</v>
      </c>
      <c r="AM132" s="590"/>
      <c r="AN132" s="602"/>
      <c r="AO132" s="590"/>
      <c r="AP132" s="610" t="s">
        <v>1002</v>
      </c>
      <c r="AQ132" s="590"/>
      <c r="AR132" s="611"/>
      <c r="AS132" s="590"/>
      <c r="AT132" s="612"/>
      <c r="AU132" s="612"/>
      <c r="AV132" s="587">
        <f>IF(AT132="","",S132-AT132-AU132)</f>
      </c>
      <c r="AW132" s="588">
        <f>IFERROR(IF(tbl_DCFC[[#This Row], [F Montant HT]]="","",tbl_DCFC[[#This Row], [Marge]]/tbl_DCFC[[#This Row], [F Montant HT]]),"")</f>
      </c>
      <c r="AX132" s="8"/>
      <c r="AY132" s="3"/>
      <c r="AZ132" s="3"/>
      <c r="BA132" s="8"/>
    </row>
    <row x14ac:dyDescent="0.25" r="133" customHeight="1" ht="15">
      <c r="A133" s="614">
        <v>25569.04218346065</v>
      </c>
      <c r="B133" s="569">
        <f>IFERROR(INDEX(Tabelle2[BU],MATCH(tbl_DCFC[[#This Row], [Categorie]],CAT,0)),"")</f>
      </c>
      <c r="C133" s="615">
        <f>IF(D133&lt;&gt;"","S"&amp;TEXT(WEEKNUM(D133,21),"00"),"")</f>
      </c>
      <c r="D133" s="614">
        <v>25569.04218346065</v>
      </c>
      <c r="E133" s="599">
        <v>4769</v>
      </c>
      <c r="F133" s="602" t="s">
        <v>641</v>
      </c>
      <c r="G133" s="602" t="s">
        <v>862</v>
      </c>
      <c r="H133" s="602"/>
      <c r="I133" s="599"/>
      <c r="J133" s="602"/>
      <c r="K133" s="602" t="s">
        <v>548</v>
      </c>
      <c r="L133" s="616" t="s">
        <v>650</v>
      </c>
      <c r="M133" s="590"/>
      <c r="N133" s="69">
        <f>IF(Q133&lt;&gt;"","S"&amp;TEXT(WEEKNUM(Q133,21),"00"),"")</f>
      </c>
      <c r="O133" s="69">
        <f>IF(Data!$Q137="","",YEAR(Data!$Q137))</f>
      </c>
      <c r="P133" s="69">
        <f>IF(Data!$Q137="","",MONTH(Data!$Q137))</f>
      </c>
      <c r="Q133" s="637"/>
      <c r="R133" s="3"/>
      <c r="S133" s="8"/>
      <c r="T133" s="3"/>
      <c r="U133" s="3"/>
      <c r="V133" s="590"/>
      <c r="W133" s="31"/>
      <c r="X133" s="69">
        <f>IF(AC133&lt;&gt;"","S"&amp;TEXT(WEEKNUM(AC133,21),"00"),"")</f>
      </c>
      <c r="Y133" s="69">
        <f>IF(Data!$AC137="","",YEAR(Data!$AC137))</f>
      </c>
      <c r="Z133" s="69">
        <f>IF(Data!$AC137="","",MONTH(Data!$AC137))</f>
      </c>
      <c r="AA133" s="31"/>
      <c r="AB133" s="8"/>
      <c r="AC133" s="637"/>
      <c r="AD133" s="9"/>
      <c r="AE133" s="31"/>
      <c r="AF133" s="573"/>
      <c r="AG133" s="3"/>
      <c r="AH133" s="590"/>
      <c r="AI133" s="609">
        <v>1</v>
      </c>
      <c r="AJ133" s="610" t="s">
        <v>870</v>
      </c>
      <c r="AK133" s="590"/>
      <c r="AL133" s="3" t="s">
        <v>1003</v>
      </c>
      <c r="AM133" s="590"/>
      <c r="AN133" s="602"/>
      <c r="AO133" s="590"/>
      <c r="AP133" s="610" t="s">
        <v>1004</v>
      </c>
      <c r="AQ133" s="590"/>
      <c r="AR133" s="611"/>
      <c r="AS133" s="590"/>
      <c r="AT133" s="612"/>
      <c r="AU133" s="612"/>
      <c r="AV133" s="587">
        <f>IF(AT133="","",S133-AT133-AU133)</f>
      </c>
      <c r="AW133" s="588">
        <f>IFERROR(IF(tbl_DCFC[[#This Row], [F Montant HT]]="","",tbl_DCFC[[#This Row], [Marge]]/tbl_DCFC[[#This Row], [F Montant HT]]),"")</f>
      </c>
      <c r="AX133" s="8"/>
      <c r="AY133" s="3"/>
      <c r="AZ133" s="3"/>
      <c r="BA133" s="8"/>
    </row>
    <row x14ac:dyDescent="0.25" r="134" customHeight="1" ht="15">
      <c r="A134" s="614">
        <v>25569.042183587964</v>
      </c>
      <c r="B134" s="569">
        <f>IFERROR(INDEX(Tabelle2[BU],MATCH(tbl_DCFC[[#This Row], [Categorie]],CAT,0)),"")</f>
      </c>
      <c r="C134" s="615">
        <f>IF(D134&lt;&gt;"","S"&amp;TEXT(WEEKNUM(D134,21),"00"),"")</f>
      </c>
      <c r="D134" s="614">
        <v>25569.042183587964</v>
      </c>
      <c r="E134" s="599">
        <v>4770</v>
      </c>
      <c r="F134" s="602" t="s">
        <v>641</v>
      </c>
      <c r="G134" s="602" t="s">
        <v>1005</v>
      </c>
      <c r="H134" s="602"/>
      <c r="I134" s="599">
        <v>2475</v>
      </c>
      <c r="J134" s="602"/>
      <c r="K134" s="602" t="s">
        <v>548</v>
      </c>
      <c r="L134" s="616" t="s">
        <v>642</v>
      </c>
      <c r="M134" s="590"/>
      <c r="N134" s="69">
        <f>IF(Q134&lt;&gt;"","S"&amp;TEXT(WEEKNUM(Q134,21),"00"),"")</f>
      </c>
      <c r="O134" s="69">
        <f>IF(Data!#REF!="","",YEAR(Data!#REF!))</f>
      </c>
      <c r="P134" s="69">
        <f>IF(Data!#REF!="","",MONTH(Data!#REF!))</f>
      </c>
      <c r="Q134" s="637"/>
      <c r="R134" s="3"/>
      <c r="S134" s="8"/>
      <c r="T134" s="3"/>
      <c r="U134" s="3"/>
      <c r="V134" s="590"/>
      <c r="W134" s="31"/>
      <c r="X134" s="69">
        <f>IF(AC134&lt;&gt;"","S"&amp;TEXT(WEEKNUM(AC134,21),"00"),"")</f>
      </c>
      <c r="Y134" s="69">
        <f>IF(Data!#REF!="","",YEAR(Data!#REF!))</f>
      </c>
      <c r="Z134" s="69">
        <f>IF(Data!#REF!="","",MONTH(Data!#REF!))</f>
      </c>
      <c r="AA134" s="31"/>
      <c r="AB134" s="8"/>
      <c r="AC134" s="637"/>
      <c r="AD134" s="9"/>
      <c r="AE134" s="31"/>
      <c r="AF134" s="573"/>
      <c r="AG134" s="3"/>
      <c r="AH134" s="590"/>
      <c r="AI134" s="609">
        <v>1</v>
      </c>
      <c r="AJ134" s="610" t="s">
        <v>1006</v>
      </c>
      <c r="AK134" s="590"/>
      <c r="AL134" s="3"/>
      <c r="AM134" s="590"/>
      <c r="AN134" s="602"/>
      <c r="AO134" s="590"/>
      <c r="AP134" s="610" t="s">
        <v>1007</v>
      </c>
      <c r="AQ134" s="590"/>
      <c r="AR134" s="611"/>
      <c r="AS134" s="590"/>
      <c r="AT134" s="612"/>
      <c r="AU134" s="612"/>
      <c r="AV134" s="587">
        <f>IF(AT134="","",S134-AT134-AU134)</f>
      </c>
      <c r="AW134" s="588">
        <f>IFERROR(IF(tbl_DCFC[[#This Row], [F Montant HT]]="","",tbl_DCFC[[#This Row], [Marge]]/tbl_DCFC[[#This Row], [F Montant HT]]),"")</f>
      </c>
      <c r="AX134" s="8"/>
      <c r="AY134" s="3"/>
      <c r="AZ134" s="3"/>
      <c r="BA134" s="8"/>
    </row>
    <row x14ac:dyDescent="0.25" r="135" customHeight="1" ht="15">
      <c r="A135" s="614">
        <v>25569.042183599537</v>
      </c>
      <c r="B135" s="569">
        <f>IFERROR(INDEX(Tabelle2[BU],MATCH(tbl_DCFC[[#This Row], [Categorie]],CAT,0)),"")</f>
      </c>
      <c r="C135" s="615">
        <f>IF(D135&lt;&gt;"","S"&amp;TEXT(WEEKNUM(D135,21),"00"),"")</f>
      </c>
      <c r="D135" s="614">
        <v>25569.042183599537</v>
      </c>
      <c r="E135" s="599">
        <v>4771</v>
      </c>
      <c r="F135" s="602" t="s">
        <v>641</v>
      </c>
      <c r="G135" s="602" t="s">
        <v>926</v>
      </c>
      <c r="H135" s="602"/>
      <c r="I135" s="599">
        <v>385</v>
      </c>
      <c r="J135" s="602"/>
      <c r="K135" s="602" t="s">
        <v>548</v>
      </c>
      <c r="L135" s="616" t="s">
        <v>646</v>
      </c>
      <c r="M135" s="590"/>
      <c r="N135" s="69">
        <f>IF(Q135&lt;&gt;"","S"&amp;TEXT(WEEKNUM(Q135,21),"00"),"")</f>
      </c>
      <c r="O135" s="69">
        <f>IF(Data!#REF!="","",YEAR(Data!#REF!))</f>
      </c>
      <c r="P135" s="69">
        <f>IF(Data!#REF!="","",MONTH(Data!#REF!))</f>
      </c>
      <c r="Q135" s="43">
        <v>25569.042183599537</v>
      </c>
      <c r="R135" s="3" t="s">
        <v>1008</v>
      </c>
      <c r="S135" s="9">
        <v>385</v>
      </c>
      <c r="T135" s="3"/>
      <c r="U135" s="3"/>
      <c r="V135" s="590"/>
      <c r="W135" s="43">
        <v>25569.042183599537</v>
      </c>
      <c r="X135" s="69">
        <f>IF(AC135&lt;&gt;"","S"&amp;TEXT(WEEKNUM(AC135,21),"00"),"")</f>
      </c>
      <c r="Y135" s="69">
        <f>IF(Data!#REF!="","",YEAR(Data!#REF!))</f>
      </c>
      <c r="Z135" s="69">
        <f>IF(Data!#REF!="","",MONTH(Data!#REF!))</f>
      </c>
      <c r="AA135" s="31"/>
      <c r="AB135" s="8"/>
      <c r="AC135" s="637"/>
      <c r="AD135" s="9"/>
      <c r="AE135" s="43">
        <v>25569.042183796297</v>
      </c>
      <c r="AF135" s="573"/>
      <c r="AG135" s="3"/>
      <c r="AH135" s="590"/>
      <c r="AI135" s="609">
        <v>1</v>
      </c>
      <c r="AJ135" s="610" t="s">
        <v>1006</v>
      </c>
      <c r="AK135" s="590"/>
      <c r="AL135" s="3" t="s">
        <v>1009</v>
      </c>
      <c r="AM135" s="590"/>
      <c r="AN135" s="602"/>
      <c r="AO135" s="590"/>
      <c r="AP135" s="610" t="s">
        <v>1010</v>
      </c>
      <c r="AQ135" s="590"/>
      <c r="AR135" s="611"/>
      <c r="AS135" s="590"/>
      <c r="AT135" s="612"/>
      <c r="AU135" s="612"/>
      <c r="AV135" s="587">
        <f>IF(AT135="","",S135-AT135-AU135)</f>
      </c>
      <c r="AW135" s="588">
        <f>IFERROR(IF(tbl_DCFC[[#This Row], [F Montant HT]]="","",tbl_DCFC[[#This Row], [Marge]]/tbl_DCFC[[#This Row], [F Montant HT]]),"")</f>
      </c>
      <c r="AX135" s="8"/>
      <c r="AY135" s="3"/>
      <c r="AZ135" s="3"/>
      <c r="BA135" s="8"/>
    </row>
    <row x14ac:dyDescent="0.25" r="136" customHeight="1" ht="15">
      <c r="A136" s="614">
        <v>25569.042183599537</v>
      </c>
      <c r="B136" s="569">
        <f>IFERROR(INDEX(Tabelle2[BU],MATCH(tbl_DCFC[[#This Row], [Categorie]],CAT,0)),"")</f>
      </c>
      <c r="C136" s="615">
        <f>IF(D136&lt;&gt;"","S"&amp;TEXT(WEEKNUM(D136,21),"00"),"")</f>
      </c>
      <c r="D136" s="614">
        <v>25569.042183599537</v>
      </c>
      <c r="E136" s="599">
        <v>4772</v>
      </c>
      <c r="F136" s="602" t="s">
        <v>641</v>
      </c>
      <c r="G136" s="602" t="s">
        <v>645</v>
      </c>
      <c r="H136" s="602"/>
      <c r="I136" s="599"/>
      <c r="J136" s="602"/>
      <c r="K136" s="602" t="s">
        <v>548</v>
      </c>
      <c r="L136" s="616" t="s">
        <v>774</v>
      </c>
      <c r="M136" s="590"/>
      <c r="N136" s="69">
        <f>IF(Q136&lt;&gt;"","S"&amp;TEXT(WEEKNUM(Q136,21),"00"),"")</f>
      </c>
      <c r="O136" s="69">
        <f>IF(Data!#REF!="","",YEAR(Data!#REF!))</f>
      </c>
      <c r="P136" s="69">
        <f>IF(Data!#REF!="","",MONTH(Data!#REF!))</f>
      </c>
      <c r="Q136" s="637"/>
      <c r="R136" s="3"/>
      <c r="S136" s="8"/>
      <c r="T136" s="3"/>
      <c r="U136" s="3"/>
      <c r="V136" s="590"/>
      <c r="W136" s="31"/>
      <c r="X136" s="69">
        <f>IF(AC136&lt;&gt;"","S"&amp;TEXT(WEEKNUM(AC136,21),"00"),"")</f>
      </c>
      <c r="Y136" s="69">
        <f>IF(Data!#REF!="","",YEAR(Data!#REF!))</f>
      </c>
      <c r="Z136" s="69">
        <f>IF(Data!#REF!="","",MONTH(Data!#REF!))</f>
      </c>
      <c r="AA136" s="31"/>
      <c r="AB136" s="8"/>
      <c r="AC136" s="637"/>
      <c r="AD136" s="9"/>
      <c r="AE136" s="31"/>
      <c r="AF136" s="573"/>
      <c r="AG136" s="3"/>
      <c r="AH136" s="590"/>
      <c r="AI136" s="609">
        <v>1</v>
      </c>
      <c r="AJ136" s="610" t="s">
        <v>1011</v>
      </c>
      <c r="AK136" s="590"/>
      <c r="AL136" s="3"/>
      <c r="AM136" s="590"/>
      <c r="AN136" s="602"/>
      <c r="AO136" s="590"/>
      <c r="AP136" s="610" t="s">
        <v>1012</v>
      </c>
      <c r="AQ136" s="590"/>
      <c r="AR136" s="611"/>
      <c r="AS136" s="590"/>
      <c r="AT136" s="612"/>
      <c r="AU136" s="612"/>
      <c r="AV136" s="587">
        <f>IF(AT136="","",S136-AT136-AU136)</f>
      </c>
      <c r="AW136" s="588">
        <f>IFERROR(IF(tbl_DCFC[[#This Row], [F Montant HT]]="","",tbl_DCFC[[#This Row], [Marge]]/tbl_DCFC[[#This Row], [F Montant HT]]),"")</f>
      </c>
      <c r="AX136" s="8"/>
      <c r="AY136" s="3"/>
      <c r="AZ136" s="3"/>
      <c r="BA136" s="8"/>
    </row>
    <row x14ac:dyDescent="0.25" r="137" customHeight="1" ht="15">
      <c r="A137" s="614">
        <v>25569.042183622685</v>
      </c>
      <c r="B137" s="569">
        <f>IFERROR(INDEX(Tabelle2[BU],MATCH(tbl_DCFC[[#This Row], [Categorie]],CAT,0)),"")</f>
      </c>
      <c r="C137" s="615">
        <f>IF(D137&lt;&gt;"","S"&amp;TEXT(WEEKNUM(D137,21),"00"),"")</f>
      </c>
      <c r="D137" s="614">
        <v>25569.042183622685</v>
      </c>
      <c r="E137" s="599">
        <v>4773</v>
      </c>
      <c r="F137" s="602" t="s">
        <v>641</v>
      </c>
      <c r="G137" s="602" t="s">
        <v>1013</v>
      </c>
      <c r="H137" s="602"/>
      <c r="I137" s="599"/>
      <c r="J137" s="602"/>
      <c r="K137" s="602" t="s">
        <v>548</v>
      </c>
      <c r="L137" s="616" t="s">
        <v>774</v>
      </c>
      <c r="M137" s="590"/>
      <c r="N137" s="69">
        <f>IF(Q137&lt;&gt;"","S"&amp;TEXT(WEEKNUM(Q137,21),"00"),"")</f>
      </c>
      <c r="O137" s="69">
        <f>IF(Data!#REF!="","",YEAR(Data!#REF!))</f>
      </c>
      <c r="P137" s="69">
        <f>IF(Data!#REF!="","",MONTH(Data!#REF!))</f>
      </c>
      <c r="Q137" s="43">
        <v>25569.042183680554</v>
      </c>
      <c r="R137" s="3" t="s">
        <v>1014</v>
      </c>
      <c r="S137" s="8"/>
      <c r="T137" s="3"/>
      <c r="U137" s="3"/>
      <c r="V137" s="590"/>
      <c r="W137" s="43">
        <v>25569.042183622685</v>
      </c>
      <c r="X137" s="69">
        <f>IF(AC137&lt;&gt;"","S"&amp;TEXT(WEEKNUM(AC137,21),"00"),"")</f>
      </c>
      <c r="Y137" s="69">
        <f>IF(Data!#REF!="","",YEAR(Data!#REF!))</f>
      </c>
      <c r="Z137" s="69">
        <f>IF(Data!#REF!="","",MONTH(Data!#REF!))</f>
      </c>
      <c r="AA137" s="31"/>
      <c r="AB137" s="8"/>
      <c r="AC137" s="637"/>
      <c r="AD137" s="9"/>
      <c r="AE137" s="43">
        <v>25569.042186643517</v>
      </c>
      <c r="AF137" s="573"/>
      <c r="AG137" s="3"/>
      <c r="AH137" s="590"/>
      <c r="AI137" s="609">
        <v>1</v>
      </c>
      <c r="AJ137" s="610" t="s">
        <v>1015</v>
      </c>
      <c r="AK137" s="590"/>
      <c r="AL137" s="3" t="s">
        <v>1016</v>
      </c>
      <c r="AM137" s="590"/>
      <c r="AN137" s="602"/>
      <c r="AO137" s="590"/>
      <c r="AP137" s="610" t="s">
        <v>1017</v>
      </c>
      <c r="AQ137" s="590"/>
      <c r="AR137" s="611"/>
      <c r="AS137" s="590"/>
      <c r="AT137" s="612"/>
      <c r="AU137" s="612"/>
      <c r="AV137" s="587">
        <f>IF(AT137="","",S137-AT137-AU137)</f>
      </c>
      <c r="AW137" s="588">
        <f>IFERROR(IF(tbl_DCFC[[#This Row], [F Montant HT]]="","",tbl_DCFC[[#This Row], [Marge]]/tbl_DCFC[[#This Row], [F Montant HT]]),"")</f>
      </c>
      <c r="AX137" s="8"/>
      <c r="AY137" s="3"/>
      <c r="AZ137" s="3"/>
      <c r="BA137" s="8"/>
    </row>
    <row x14ac:dyDescent="0.25" r="138" customHeight="1" ht="14.4">
      <c r="A138" s="638"/>
      <c r="B138" s="639">
        <f>IFERROR(INDEX(Tabelle2[BU],MATCH(tbl_DCFC[[#This Row], [Categorie]],CAT,0)),"")</f>
      </c>
      <c r="C138" s="131"/>
      <c r="D138" s="640">
        <v>25569.04217396991</v>
      </c>
      <c r="E138" s="132"/>
      <c r="F138" s="131"/>
      <c r="G138" s="131" t="s">
        <v>645</v>
      </c>
      <c r="H138" s="131"/>
      <c r="I138" s="137">
        <v>50000</v>
      </c>
      <c r="J138" s="131" t="s">
        <v>1018</v>
      </c>
      <c r="K138" s="131" t="s">
        <v>537</v>
      </c>
      <c r="L138" s="641" t="s">
        <v>646</v>
      </c>
      <c r="M138" s="3"/>
      <c r="N138" s="131"/>
      <c r="O138" s="591">
        <f>IF(Data!$Q3="","",YEAR(Data!$Q3))</f>
      </c>
      <c r="P138" s="591">
        <f>IF(Data!$Q3="","",MONTH(Data!$Q3))</f>
      </c>
      <c r="Q138" s="642">
        <v>25569.04217869213</v>
      </c>
      <c r="R138" s="632" t="s">
        <v>1019</v>
      </c>
      <c r="S138" s="137"/>
      <c r="T138" s="633"/>
      <c r="U138" s="634"/>
      <c r="V138" s="3"/>
      <c r="W138" s="42"/>
      <c r="X138" s="63">
        <f>IF(AC138&lt;&gt;"","S"&amp;TEXT(WEEKNUM(AC138,21),"00"),"")</f>
      </c>
      <c r="Y138" s="63">
        <f>IF(Data!$AC3="","",YEAR(Data!$AC3))</f>
      </c>
      <c r="Z138" s="63">
        <f>IF(Data!$AC3="","",MONTH(Data!$AC3))</f>
      </c>
      <c r="AA138" s="42"/>
      <c r="AB138" s="631"/>
      <c r="AC138" s="42"/>
      <c r="AD138" s="65"/>
      <c r="AE138" s="42"/>
      <c r="AF138" s="573"/>
      <c r="AG138" s="3"/>
      <c r="AH138" s="3"/>
      <c r="AI138" s="643">
        <v>1</v>
      </c>
      <c r="AJ138" s="27" t="s">
        <v>1020</v>
      </c>
      <c r="AK138" s="3"/>
      <c r="AL138" s="27"/>
      <c r="AM138" s="3"/>
      <c r="AN138" s="3"/>
      <c r="AO138" s="3"/>
      <c r="AP138" s="27"/>
      <c r="AQ138" s="3"/>
      <c r="AR138" s="644"/>
      <c r="AS138" s="3"/>
      <c r="AT138" s="645"/>
      <c r="AU138" s="645"/>
      <c r="AV138" s="646">
        <f>IF(AT138="","",S138-AT138-AU138)</f>
      </c>
      <c r="AW138" s="299">
        <f>IFERROR(IF(tbl_DCFC[[#This Row], [F Montant HT]]="","",tbl_DCFC[[#This Row], [Marge]]/tbl_DCFC[[#This Row], [F Montant HT]]),"")</f>
      </c>
      <c r="AX138" s="8"/>
      <c r="AY138" s="3"/>
      <c r="AZ138" s="3"/>
      <c r="BA138" s="8"/>
    </row>
    <row x14ac:dyDescent="0.25" r="139" customHeight="1" ht="14.4">
      <c r="A139" s="647">
        <v>25569.042182743055</v>
      </c>
      <c r="B139" s="639">
        <f>IFERROR(INDEX(Tabelle2[BU],MATCH(tbl_DCFC[[#This Row], [Categorie]],CAT,0)),"")</f>
      </c>
      <c r="C139" s="648">
        <f>IF(D139&lt;&gt;"","S"&amp;TEXT(WEEKNUM(D139,21),"00"),"")</f>
      </c>
      <c r="D139" s="647">
        <v>25569.042182743055</v>
      </c>
      <c r="E139" s="649"/>
      <c r="F139" s="41"/>
      <c r="G139" s="41" t="s">
        <v>1021</v>
      </c>
      <c r="H139" s="41"/>
      <c r="I139" s="65"/>
      <c r="J139" s="41" t="s">
        <v>1022</v>
      </c>
      <c r="K139" s="41"/>
      <c r="L139" s="650"/>
      <c r="M139" s="3"/>
      <c r="N139" s="3"/>
      <c r="O139" s="617">
        <f>IF(Data!$Q64="","",YEAR(Data!$Q64))</f>
      </c>
      <c r="P139" s="617">
        <f>IF(Data!$Q64="","",MONTH(Data!$Q64))</f>
      </c>
      <c r="Q139" s="637"/>
      <c r="R139" s="3" t="s">
        <v>1023</v>
      </c>
      <c r="S139" s="8"/>
      <c r="T139" s="3"/>
      <c r="U139" s="3"/>
      <c r="V139" s="3"/>
      <c r="W139" s="31"/>
      <c r="X139" s="69">
        <f>IF(AC139&lt;&gt;"","S"&amp;TEXT(WEEKNUM(AC139,21),"00"),"")</f>
      </c>
      <c r="Y139" s="69">
        <f>IF(Data!$AC64="","",YEAR(Data!$AC64))</f>
      </c>
      <c r="Z139" s="69">
        <f>IF(Data!$AC64="","",MONTH(Data!$AC64))</f>
      </c>
      <c r="AA139" s="31"/>
      <c r="AB139" s="9">
        <v>5193</v>
      </c>
      <c r="AC139" s="43">
        <v>25569.042182743055</v>
      </c>
      <c r="AD139" s="9">
        <v>395</v>
      </c>
      <c r="AE139" s="31"/>
      <c r="AF139" s="573"/>
      <c r="AG139" s="3"/>
      <c r="AH139" s="3"/>
      <c r="AI139" s="9">
        <v>1</v>
      </c>
      <c r="AJ139" s="3" t="s">
        <v>1024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22"/>
      <c r="AU139" s="22"/>
      <c r="AV139" s="22"/>
      <c r="AW139" s="299"/>
      <c r="AX139" s="8"/>
      <c r="AY139" s="3"/>
      <c r="AZ139" s="3"/>
      <c r="BA139" s="8"/>
    </row>
    <row x14ac:dyDescent="0.25" r="140" customHeight="1" ht="14.4">
      <c r="A140" s="647">
        <v>25569.042182743055</v>
      </c>
      <c r="B140" s="639">
        <f>IFERROR(INDEX(Tabelle2[BU],MATCH(tbl_DCFC[[#This Row], [Categorie]],CAT,0)),"")</f>
      </c>
      <c r="C140" s="648">
        <f>IF(D140&lt;&gt;"","S"&amp;TEXT(WEEKNUM(D140,21),"00"),"")</f>
      </c>
      <c r="D140" s="647">
        <v>25569.042182743055</v>
      </c>
      <c r="E140" s="649"/>
      <c r="F140" s="41"/>
      <c r="G140" s="41" t="s">
        <v>1021</v>
      </c>
      <c r="H140" s="41"/>
      <c r="I140" s="65"/>
      <c r="J140" s="41" t="s">
        <v>1022</v>
      </c>
      <c r="K140" s="41"/>
      <c r="L140" s="650"/>
      <c r="M140" s="3"/>
      <c r="N140" s="69">
        <f>IF(Q140&lt;&gt;"","S"&amp;TEXT(WEEKNUM(Q140,21),"00"),"")</f>
      </c>
      <c r="O140" s="617">
        <f>IF(Data!$Q65="","",YEAR(Data!$Q65))</f>
      </c>
      <c r="P140" s="617">
        <f>IF(Data!$Q65="","",MONTH(Data!$Q65))</f>
      </c>
      <c r="Q140" s="637"/>
      <c r="R140" s="3" t="s">
        <v>1023</v>
      </c>
      <c r="S140" s="8"/>
      <c r="T140" s="3"/>
      <c r="U140" s="3"/>
      <c r="V140" s="3"/>
      <c r="W140" s="31"/>
      <c r="X140" s="69">
        <f>IF(AC140&lt;&gt;"","S"&amp;TEXT(WEEKNUM(AC140,21),"00"),"")</f>
      </c>
      <c r="Y140" s="69">
        <f>IF(Data!$AC65="","",YEAR(Data!$AC65))</f>
      </c>
      <c r="Z140" s="69">
        <f>IF(Data!$AC65="","",MONTH(Data!$AC65))</f>
      </c>
      <c r="AA140" s="31"/>
      <c r="AB140" s="9">
        <v>5192</v>
      </c>
      <c r="AC140" s="43">
        <v>25569.042182743055</v>
      </c>
      <c r="AD140" s="9">
        <v>395</v>
      </c>
      <c r="AE140" s="31"/>
      <c r="AF140" s="573"/>
      <c r="AG140" s="3"/>
      <c r="AH140" s="3"/>
      <c r="AI140" s="9">
        <v>1</v>
      </c>
      <c r="AJ140" s="3" t="s">
        <v>1024</v>
      </c>
      <c r="AK140" s="3"/>
      <c r="AL140" s="3"/>
      <c r="AM140" s="3"/>
      <c r="AN140" s="3"/>
      <c r="AO140" s="3"/>
      <c r="AP140" s="3"/>
      <c r="AQ140" s="3"/>
      <c r="AR140" s="3"/>
      <c r="AS140" s="3"/>
      <c r="AT140" s="22"/>
      <c r="AU140" s="22"/>
      <c r="AV140" s="646">
        <f>IF(AT140="","",S140-AT140-AU140)</f>
      </c>
      <c r="AW140" s="299">
        <f>IFERROR(IF(tbl_DCFC[[#This Row], [F Montant HT]]="","",tbl_DCFC[[#This Row], [Marge]]/tbl_DCFC[[#This Row], [F Montant HT]]),"")</f>
      </c>
      <c r="AX140" s="8"/>
      <c r="AY140" s="3"/>
      <c r="AZ140" s="3"/>
      <c r="BA140" s="8"/>
    </row>
    <row x14ac:dyDescent="0.25" r="141" customHeight="1" ht="14.4">
      <c r="A141" s="647">
        <v>25569.04218277778</v>
      </c>
      <c r="B141" s="639">
        <f>IFERROR(INDEX(Tabelle2[BU],MATCH(tbl_DCFC[[#This Row], [Categorie]],CAT,0)),"")</f>
      </c>
      <c r="C141" s="648">
        <f>IF(D141&lt;&gt;"","S"&amp;TEXT(WEEKNUM(D141,21),"00"),"")</f>
      </c>
      <c r="D141" s="647">
        <v>25569.04218277778</v>
      </c>
      <c r="E141" s="649"/>
      <c r="F141" s="41"/>
      <c r="G141" s="41" t="s">
        <v>1021</v>
      </c>
      <c r="H141" s="41"/>
      <c r="I141" s="65"/>
      <c r="J141" s="41" t="s">
        <v>1022</v>
      </c>
      <c r="K141" s="41"/>
      <c r="L141" s="650"/>
      <c r="M141" s="3"/>
      <c r="N141" s="69">
        <f>IF(Q141&lt;&gt;"","S"&amp;TEXT(WEEKNUM(Q141,21),"00"),"")</f>
      </c>
      <c r="O141" s="617">
        <f>IF(Data!$Q95="","",YEAR(Data!$Q95))</f>
      </c>
      <c r="P141" s="617">
        <f>IF(Data!$Q95="","",MONTH(Data!$Q95))</f>
      </c>
      <c r="Q141" s="637"/>
      <c r="R141" s="3" t="s">
        <v>1025</v>
      </c>
      <c r="S141" s="8"/>
      <c r="T141" s="3"/>
      <c r="U141" s="3"/>
      <c r="V141" s="3"/>
      <c r="W141" s="31"/>
      <c r="X141" s="69">
        <f>IF(AC141&lt;&gt;"","S"&amp;TEXT(WEEKNUM(AC141,21),"00"),"")</f>
      </c>
      <c r="Y141" s="69">
        <f>IF(Data!$AC95="","",YEAR(Data!$AC95))</f>
      </c>
      <c r="Z141" s="69">
        <f>IF(Data!$AC95="","",MONTH(Data!$AC95))</f>
      </c>
      <c r="AA141" s="31"/>
      <c r="AB141" s="9">
        <v>5195</v>
      </c>
      <c r="AC141" s="43">
        <v>25569.04218277778</v>
      </c>
      <c r="AD141" s="9">
        <v>412.5</v>
      </c>
      <c r="AE141" s="31"/>
      <c r="AF141" s="573"/>
      <c r="AG141" s="3"/>
      <c r="AH141" s="3"/>
      <c r="AI141" s="9">
        <v>1</v>
      </c>
      <c r="AJ141" s="3" t="s">
        <v>1026</v>
      </c>
      <c r="AK141" s="3"/>
      <c r="AL141" s="3"/>
      <c r="AM141" s="3"/>
      <c r="AN141" s="3"/>
      <c r="AO141" s="3"/>
      <c r="AP141" s="3"/>
      <c r="AQ141" s="3"/>
      <c r="AR141" s="3"/>
      <c r="AS141" s="3"/>
      <c r="AT141" s="22"/>
      <c r="AU141" s="22"/>
      <c r="AV141" s="646">
        <f>IF(AT141="","",S141-AT141-AU141)</f>
      </c>
      <c r="AW141" s="299">
        <f>IFERROR(IF(tbl_DCFC[[#This Row], [F Montant HT]]="","",tbl_DCFC[[#This Row], [Marge]]/tbl_DCFC[[#This Row], [F Montant HT]]),"")</f>
      </c>
      <c r="AX141" s="8"/>
      <c r="AY141" s="3"/>
      <c r="AZ141" s="3"/>
      <c r="BA141" s="8"/>
    </row>
    <row x14ac:dyDescent="0.25" r="142" customHeight="1" ht="14.4">
      <c r="A142" s="647">
        <v>25569.042182893518</v>
      </c>
      <c r="B142" s="639">
        <f>IFERROR(INDEX(Tabelle2[BU],MATCH(tbl_DCFC[[#This Row], [Categorie]],CAT,0)),"")</f>
      </c>
      <c r="C142" s="648">
        <f>IF(D142&lt;&gt;"","S"&amp;TEXT(WEEKNUM(D142,21),"00"),"")</f>
      </c>
      <c r="D142" s="647">
        <v>25569.042182893518</v>
      </c>
      <c r="E142" s="649"/>
      <c r="F142" s="41"/>
      <c r="G142" s="41" t="s">
        <v>1027</v>
      </c>
      <c r="H142" s="41"/>
      <c r="I142" s="65"/>
      <c r="J142" s="41" t="s">
        <v>1022</v>
      </c>
      <c r="K142" s="41"/>
      <c r="L142" s="650"/>
      <c r="M142" s="3"/>
      <c r="N142" s="69">
        <f>IF(Q142&lt;&gt;"","S"&amp;TEXT(WEEKNUM(Q142,21),"00"),"")</f>
      </c>
      <c r="O142" s="617">
        <f>IF(Data!$Q93="","",YEAR(Data!$Q93))</f>
      </c>
      <c r="P142" s="617">
        <f>IF(Data!$Q93="","",MONTH(Data!$Q93))</f>
      </c>
      <c r="Q142" s="637"/>
      <c r="R142" s="3" t="s">
        <v>1028</v>
      </c>
      <c r="S142" s="8"/>
      <c r="T142" s="3"/>
      <c r="U142" s="3"/>
      <c r="V142" s="3"/>
      <c r="W142" s="31"/>
      <c r="X142" s="69">
        <f>IF(AC142&lt;&gt;"","S"&amp;TEXT(WEEKNUM(AC142,21),"00"),"")</f>
      </c>
      <c r="Y142" s="69">
        <f>IF(Data!$AC93="","",YEAR(Data!$AC93))</f>
      </c>
      <c r="Z142" s="69">
        <f>IF(Data!$AC93="","",MONTH(Data!$AC93))</f>
      </c>
      <c r="AA142" s="31"/>
      <c r="AB142" s="9">
        <v>5200</v>
      </c>
      <c r="AC142" s="43">
        <v>25569.042182893518</v>
      </c>
      <c r="AD142" s="9">
        <v>-3571</v>
      </c>
      <c r="AE142" s="31"/>
      <c r="AF142" s="573"/>
      <c r="AG142" s="3"/>
      <c r="AH142" s="3"/>
      <c r="AI142" s="8"/>
      <c r="AJ142" s="3"/>
      <c r="AK142" s="3"/>
      <c r="AL142" s="3" t="s">
        <v>1029</v>
      </c>
      <c r="AM142" s="3"/>
      <c r="AN142" s="3"/>
      <c r="AO142" s="3"/>
      <c r="AP142" s="3" t="s">
        <v>1030</v>
      </c>
      <c r="AQ142" s="3"/>
      <c r="AR142" s="3"/>
      <c r="AS142" s="3"/>
      <c r="AT142" s="22"/>
      <c r="AU142" s="22"/>
      <c r="AV142" s="646">
        <f>IF(AT142="","",S142-AT142-AU142)</f>
      </c>
      <c r="AW142" s="299">
        <f>IFERROR(IF(tbl_DCFC[[#This Row], [F Montant HT]]="","",tbl_DCFC[[#This Row], [Marge]]/tbl_DCFC[[#This Row], [F Montant HT]]),"")</f>
      </c>
      <c r="AX142" s="8"/>
      <c r="AY142" s="3"/>
      <c r="AZ142" s="3"/>
      <c r="BA142" s="8"/>
    </row>
    <row x14ac:dyDescent="0.25" r="143" customHeight="1" ht="14.4">
      <c r="A143" s="647">
        <v>25569.042182893518</v>
      </c>
      <c r="B143" s="639">
        <f>IFERROR(INDEX(Tabelle2[BU],MATCH(tbl_DCFC[[#This Row], [Categorie]],CAT,0)),"")</f>
      </c>
      <c r="C143" s="648">
        <f>IF(D143&lt;&gt;"","S"&amp;TEXT(WEEKNUM(D143,21),"00"),"")</f>
      </c>
      <c r="D143" s="647">
        <v>25569.042182893518</v>
      </c>
      <c r="E143" s="649"/>
      <c r="F143" s="41"/>
      <c r="G143" s="41" t="s">
        <v>1027</v>
      </c>
      <c r="H143" s="41"/>
      <c r="I143" s="65"/>
      <c r="J143" s="41" t="s">
        <v>1022</v>
      </c>
      <c r="K143" s="41"/>
      <c r="L143" s="650"/>
      <c r="M143" s="3"/>
      <c r="N143" s="69">
        <f>IF(Q143&lt;&gt;"","S"&amp;TEXT(WEEKNUM(Q143,21),"00"),"")</f>
      </c>
      <c r="O143" s="617">
        <f>IF(Data!$Q94="","",YEAR(Data!$Q94))</f>
      </c>
      <c r="P143" s="617">
        <f>IF(Data!$Q94="","",MONTH(Data!$Q94))</f>
      </c>
      <c r="Q143" s="637"/>
      <c r="R143" s="3" t="s">
        <v>1028</v>
      </c>
      <c r="S143" s="8"/>
      <c r="T143" s="3"/>
      <c r="U143" s="3"/>
      <c r="V143" s="3"/>
      <c r="W143" s="31"/>
      <c r="X143" s="69">
        <f>IF(AC143&lt;&gt;"","S"&amp;TEXT(WEEKNUM(AC143,21),"00"),"")</f>
      </c>
      <c r="Y143" s="69">
        <f>IF(Data!$AC94="","",YEAR(Data!$AC94))</f>
      </c>
      <c r="Z143" s="69">
        <f>IF(Data!$AC94="","",MONTH(Data!$AC94))</f>
      </c>
      <c r="AA143" s="31"/>
      <c r="AB143" s="9">
        <v>5201</v>
      </c>
      <c r="AC143" s="43">
        <v>25569.042182893518</v>
      </c>
      <c r="AD143" s="9">
        <v>3571</v>
      </c>
      <c r="AE143" s="31"/>
      <c r="AF143" s="573"/>
      <c r="AG143" s="3"/>
      <c r="AH143" s="3"/>
      <c r="AI143" s="8"/>
      <c r="AJ143" s="3"/>
      <c r="AK143" s="3"/>
      <c r="AL143" s="3" t="s">
        <v>1031</v>
      </c>
      <c r="AM143" s="3"/>
      <c r="AN143" s="3"/>
      <c r="AO143" s="3"/>
      <c r="AP143" s="3" t="s">
        <v>1030</v>
      </c>
      <c r="AQ143" s="3"/>
      <c r="AR143" s="3"/>
      <c r="AS143" s="3"/>
      <c r="AT143" s="22"/>
      <c r="AU143" s="22"/>
      <c r="AV143" s="646">
        <f>IF(AT143="","",S143-AT143-AU143)</f>
      </c>
      <c r="AW143" s="299">
        <f>IFERROR(IF(tbl_DCFC[[#This Row], [F Montant HT]]="","",tbl_DCFC[[#This Row], [Marge]]/tbl_DCFC[[#This Row], [F Montant HT]]),"")</f>
      </c>
      <c r="AX143" s="8"/>
      <c r="AY143" s="3"/>
      <c r="AZ143" s="3"/>
      <c r="BA143" s="8"/>
    </row>
    <row x14ac:dyDescent="0.25" r="144" customHeight="1" ht="14.4">
      <c r="A144" s="647">
        <v>25569.042183449073</v>
      </c>
      <c r="B144" s="639">
        <f>IFERROR(INDEX(Tabelle2[BU],MATCH(tbl_DCFC[[#This Row], [Categorie]],CAT,0)),"")</f>
      </c>
      <c r="C144" s="648">
        <f>IF(D144&lt;&gt;"","S"&amp;TEXT(WEEKNUM(D144,21),"00"),"")</f>
      </c>
      <c r="D144" s="647">
        <v>25569.042183449073</v>
      </c>
      <c r="E144" s="649"/>
      <c r="F144" s="41"/>
      <c r="G144" s="41" t="s">
        <v>1021</v>
      </c>
      <c r="H144" s="41"/>
      <c r="I144" s="65"/>
      <c r="J144" s="41" t="s">
        <v>1022</v>
      </c>
      <c r="K144" s="41"/>
      <c r="L144" s="650"/>
      <c r="M144" s="3"/>
      <c r="N144" s="69">
        <f>IF(Q144&lt;&gt;"","S"&amp;TEXT(WEEKNUM(Q144,21),"00"),"")</f>
      </c>
      <c r="O144" s="617">
        <f>IF(Data!$Q128="","",YEAR(Data!$Q128))</f>
      </c>
      <c r="P144" s="617">
        <f>IF(Data!$Q128="","",MONTH(Data!$Q128))</f>
      </c>
      <c r="Q144" s="637"/>
      <c r="R144" s="3" t="s">
        <v>1032</v>
      </c>
      <c r="S144" s="8"/>
      <c r="T144" s="3"/>
      <c r="U144" s="3"/>
      <c r="V144" s="3"/>
      <c r="W144" s="31"/>
      <c r="X144" s="69">
        <f>IF(AC144&lt;&gt;"","S"&amp;TEXT(WEEKNUM(AC144,21),"00"),"")</f>
      </c>
      <c r="Y144" s="69">
        <f>IF(Data!$AC128="","",YEAR(Data!$AC128))</f>
      </c>
      <c r="Z144" s="69">
        <f>IF(Data!$AC128="","",MONTH(Data!$AC128))</f>
      </c>
      <c r="AA144" s="31"/>
      <c r="AB144" s="9">
        <v>5226</v>
      </c>
      <c r="AC144" s="43">
        <v>25569.042183449073</v>
      </c>
      <c r="AD144" s="9">
        <v>1380</v>
      </c>
      <c r="AE144" s="31"/>
      <c r="AF144" s="573"/>
      <c r="AG144" s="3"/>
      <c r="AH144" s="3"/>
      <c r="AI144" s="9">
        <v>1</v>
      </c>
      <c r="AJ144" s="3" t="s">
        <v>1033</v>
      </c>
      <c r="AK144" s="3"/>
      <c r="AL144" s="3"/>
      <c r="AM144" s="3"/>
      <c r="AN144" s="3"/>
      <c r="AO144" s="3"/>
      <c r="AP144" s="3"/>
      <c r="AQ144" s="3"/>
      <c r="AR144" s="3"/>
      <c r="AS144" s="3"/>
      <c r="AT144" s="22"/>
      <c r="AU144" s="22"/>
      <c r="AV144" s="646">
        <f>IF(AT144="","",S144-AT144-AU144)</f>
      </c>
      <c r="AW144" s="299">
        <f>IFERROR(IF(tbl_DCFC[[#This Row], [F Montant HT]]="","",tbl_DCFC[[#This Row], [Marge]]/tbl_DCFC[[#This Row], [F Montant HT]]),"")</f>
      </c>
      <c r="AX144" s="8"/>
      <c r="AY144" s="3"/>
      <c r="AZ144" s="3"/>
      <c r="BA144" s="8"/>
    </row>
    <row x14ac:dyDescent="0.25" r="145" customHeight="1" ht="14.4">
      <c r="A145" s="647">
        <v>25569.042183449073</v>
      </c>
      <c r="B145" s="639">
        <f>IFERROR(INDEX(Tabelle2[BU],MATCH(tbl_DCFC[[#This Row], [Categorie]],CAT,0)),"")</f>
      </c>
      <c r="C145" s="648">
        <f>IF(D145&lt;&gt;"","S"&amp;TEXT(WEEKNUM(D145,21),"00"),"")</f>
      </c>
      <c r="D145" s="647">
        <v>25569.042183449073</v>
      </c>
      <c r="E145" s="649"/>
      <c r="F145" s="41"/>
      <c r="G145" s="41" t="s">
        <v>1021</v>
      </c>
      <c r="H145" s="41"/>
      <c r="I145" s="65"/>
      <c r="J145" s="41" t="s">
        <v>1022</v>
      </c>
      <c r="K145" s="41"/>
      <c r="L145" s="650"/>
      <c r="M145" s="3"/>
      <c r="N145" s="69">
        <f>IF(Q145&lt;&gt;"","S"&amp;TEXT(WEEKNUM(Q145,21),"00"),"")</f>
      </c>
      <c r="O145" s="617">
        <f>IF(Data!$Q129="","",YEAR(Data!$Q129))</f>
      </c>
      <c r="P145" s="617">
        <f>IF(Data!$Q129="","",MONTH(Data!$Q129))</f>
      </c>
      <c r="Q145" s="637"/>
      <c r="R145" s="3" t="s">
        <v>1034</v>
      </c>
      <c r="S145" s="8"/>
      <c r="T145" s="3"/>
      <c r="U145" s="3"/>
      <c r="V145" s="3"/>
      <c r="W145" s="31"/>
      <c r="X145" s="69">
        <f>IF(AC145&lt;&gt;"","S"&amp;TEXT(WEEKNUM(AC145,21),"00"),"")</f>
      </c>
      <c r="Y145" s="69">
        <f>IF(Data!$AC129="","",YEAR(Data!$AC129))</f>
      </c>
      <c r="Z145" s="69">
        <f>IF(Data!$AC129="","",MONTH(Data!$AC129))</f>
      </c>
      <c r="AA145" s="31"/>
      <c r="AB145" s="9">
        <v>5225</v>
      </c>
      <c r="AC145" s="43">
        <v>25569.042183449073</v>
      </c>
      <c r="AD145" s="9">
        <v>1380</v>
      </c>
      <c r="AE145" s="31"/>
      <c r="AF145" s="573"/>
      <c r="AG145" s="3"/>
      <c r="AH145" s="3"/>
      <c r="AI145" s="9">
        <v>1</v>
      </c>
      <c r="AJ145" s="3" t="s">
        <v>1033</v>
      </c>
      <c r="AK145" s="3"/>
      <c r="AL145" s="3"/>
      <c r="AM145" s="3"/>
      <c r="AN145" s="3"/>
      <c r="AO145" s="3"/>
      <c r="AP145" s="3"/>
      <c r="AQ145" s="3"/>
      <c r="AR145" s="3"/>
      <c r="AS145" s="3"/>
      <c r="AT145" s="22"/>
      <c r="AU145" s="22"/>
      <c r="AV145" s="646">
        <f>IF(AT145="","",S145-AT145-AU145)</f>
      </c>
      <c r="AW145" s="299">
        <f>IFERROR(IF(tbl_DCFC[[#This Row], [F Montant HT]]="","",tbl_DCFC[[#This Row], [Marge]]/tbl_DCFC[[#This Row], [F Montant HT]]),"")</f>
      </c>
      <c r="AX145" s="8"/>
      <c r="AY145" s="3"/>
      <c r="AZ145" s="3"/>
      <c r="BA145" s="8"/>
    </row>
    <row x14ac:dyDescent="0.25" r="146" customHeight="1" ht="14.4">
      <c r="A146" s="614">
        <v>25569.042183449073</v>
      </c>
      <c r="B146" s="569">
        <f>IFERROR(INDEX(Tabelle2[BU],MATCH(tbl_DCFC[[#This Row], [Categorie]],CAT,0)),"")</f>
      </c>
      <c r="C146" s="615">
        <f>IF(D146&lt;&gt;"","S"&amp;TEXT(WEEKNUM(D146,21),"00"),"")</f>
      </c>
      <c r="D146" s="614">
        <v>25569.042183449073</v>
      </c>
      <c r="E146" s="651"/>
      <c r="F146" s="602"/>
      <c r="G146" s="602" t="s">
        <v>1021</v>
      </c>
      <c r="H146" s="602"/>
      <c r="I146" s="599"/>
      <c r="J146" s="602" t="s">
        <v>1022</v>
      </c>
      <c r="K146" s="602"/>
      <c r="L146" s="616"/>
      <c r="M146" s="590"/>
      <c r="N146" s="617">
        <f>IF(Q146&lt;&gt;"","S"&amp;TEXT(WEEKNUM(Q146,21),"00"),"")</f>
      </c>
      <c r="O146" s="617">
        <f>IF(Data!$Q130="","",YEAR(Data!$Q130))</f>
      </c>
      <c r="P146" s="617">
        <f>IF(Data!$Q130="","",MONTH(Data!$Q130))</f>
      </c>
      <c r="Q146" s="618"/>
      <c r="R146" s="610" t="s">
        <v>1035</v>
      </c>
      <c r="S146" s="609"/>
      <c r="T146" s="610"/>
      <c r="U146" s="610"/>
      <c r="V146" s="590"/>
      <c r="W146" s="618"/>
      <c r="X146" s="617">
        <f>IF(AC146&lt;&gt;"","S"&amp;TEXT(WEEKNUM(AC146,21),"00"),"")</f>
      </c>
      <c r="Y146" s="617">
        <f>IF(Data!$AC130="","",YEAR(Data!$AC130))</f>
      </c>
      <c r="Z146" s="617">
        <f>IF(Data!$AC130="","",MONTH(Data!$AC130))</f>
      </c>
      <c r="AA146" s="618"/>
      <c r="AB146" s="609">
        <v>5224</v>
      </c>
      <c r="AC146" s="620">
        <v>25569.042183449073</v>
      </c>
      <c r="AD146" s="609">
        <v>1380</v>
      </c>
      <c r="AE146" s="618"/>
      <c r="AF146" s="590"/>
      <c r="AG146" s="610"/>
      <c r="AH146" s="590"/>
      <c r="AI146" s="609">
        <v>1</v>
      </c>
      <c r="AJ146" s="610" t="s">
        <v>1033</v>
      </c>
      <c r="AK146" s="590"/>
      <c r="AL146" s="610"/>
      <c r="AM146" s="590"/>
      <c r="AN146" s="602"/>
      <c r="AO146" s="590"/>
      <c r="AP146" s="610"/>
      <c r="AQ146" s="590"/>
      <c r="AR146" s="611"/>
      <c r="AS146" s="590"/>
      <c r="AT146" s="612"/>
      <c r="AU146" s="612"/>
      <c r="AV146" s="587">
        <f>IF(AT146="","",S146-AT146-AU146)</f>
      </c>
      <c r="AW146" s="588">
        <f>IFERROR(IF(tbl_DCFC[[#This Row], [F Montant HT]]="","",tbl_DCFC[[#This Row], [Marge]]/tbl_DCFC[[#This Row], [F Montant HT]]),"")</f>
      </c>
      <c r="AX146" s="8"/>
      <c r="AY146" s="3"/>
      <c r="AZ146" s="3"/>
      <c r="BA146" s="8"/>
    </row>
    <row x14ac:dyDescent="0.25" r="147" customHeight="1" ht="14.4">
      <c r="A147" s="614">
        <v>25569.042183680554</v>
      </c>
      <c r="B147" s="569">
        <f>IFERROR(INDEX(Tabelle2[BU],MATCH(tbl_DCFC[[#This Row], [Categorie]],CAT,0)),"")</f>
      </c>
      <c r="C147" s="575">
        <f>IF(D147&lt;&gt;"","S"&amp;TEXT(WEEKNUM(D147,21),"00"),"")</f>
      </c>
      <c r="D147" s="614">
        <v>25569.042183680554</v>
      </c>
      <c r="E147" s="598">
        <v>4774</v>
      </c>
      <c r="F147" s="602"/>
      <c r="G147" s="602" t="s">
        <v>862</v>
      </c>
      <c r="H147" s="602"/>
      <c r="I147" s="599"/>
      <c r="J147" s="602" t="s">
        <v>280</v>
      </c>
      <c r="K147" s="602" t="s">
        <v>548</v>
      </c>
      <c r="L147" s="602" t="s">
        <v>774</v>
      </c>
      <c r="M147" s="590"/>
      <c r="N147" s="575">
        <f>IF(Q147&lt;&gt;"","S"&amp;TEXT(WEEKNUM(Q147,21),"00"),"")</f>
      </c>
      <c r="O147" s="575">
        <f>IF(Data!$Q147="","",YEAR(Data!$Q147))</f>
      </c>
      <c r="P147" s="575">
        <f>IF(Data!$Q147="","",MONTH(Data!$Q147))</f>
      </c>
      <c r="Q147" s="596"/>
      <c r="R147" s="605"/>
      <c r="S147" s="599"/>
      <c r="T147" s="606"/>
      <c r="U147" s="607"/>
      <c r="V147" s="590"/>
      <c r="W147" s="596"/>
      <c r="X147" s="575">
        <f>IF(AC147&lt;&gt;"","S"&amp;TEXT(WEEKNUM(AC147,21),"00"),"")</f>
      </c>
      <c r="Y147" s="575">
        <f>IF(Data!$AC147="","",YEAR(Data!$AC147))</f>
      </c>
      <c r="Z147" s="575">
        <f>IF(Data!$AC147="","",MONTH(Data!$AC147))</f>
      </c>
      <c r="AA147" s="596"/>
      <c r="AB147" s="608"/>
      <c r="AC147" s="596"/>
      <c r="AD147" s="599"/>
      <c r="AE147" s="596"/>
      <c r="AF147" s="590"/>
      <c r="AG147" s="610"/>
      <c r="AH147" s="590"/>
      <c r="AI147" s="609">
        <v>2</v>
      </c>
      <c r="AJ147" s="610" t="s">
        <v>1036</v>
      </c>
      <c r="AK147" s="590"/>
      <c r="AL147" s="610"/>
      <c r="AM147" s="590"/>
      <c r="AN147" s="602"/>
      <c r="AO147" s="590"/>
      <c r="AP147" s="610" t="s">
        <v>1037</v>
      </c>
      <c r="AQ147" s="590"/>
      <c r="AR147" s="611"/>
      <c r="AS147" s="590"/>
      <c r="AT147" s="612"/>
      <c r="AU147" s="612"/>
      <c r="AV147" s="587">
        <f>IF(AT147="","",S147-AT147)</f>
      </c>
      <c r="AW147" s="652">
        <f>IFERROR(IF(tbl_DCFC[[#This Row], [F Montant HT]]="","",tbl_DCFC[[#This Row], [Marge]]/tbl_DCFC[[#This Row], [F Montant HT]]),"")</f>
      </c>
      <c r="AX147" s="8"/>
      <c r="AY147" s="3"/>
      <c r="AZ147" s="3"/>
      <c r="BA147" s="8"/>
    </row>
    <row x14ac:dyDescent="0.25" r="148" customHeight="1" ht="14.4">
      <c r="A148" s="614">
        <v>25569.042183680554</v>
      </c>
      <c r="B148" s="569">
        <f>IFERROR(INDEX(Tabelle2[BU],MATCH(tbl_DCFC[[#This Row], [Categorie]],CAT,0)),"")</f>
      </c>
      <c r="C148" s="575">
        <f>IF(D148&lt;&gt;"","S"&amp;TEXT(WEEKNUM(D148,21),"00"),"")</f>
      </c>
      <c r="D148" s="614">
        <v>25569.04218369213</v>
      </c>
      <c r="E148" s="598">
        <v>4775</v>
      </c>
      <c r="F148" s="602"/>
      <c r="G148" s="602" t="s">
        <v>713</v>
      </c>
      <c r="H148" s="602"/>
      <c r="I148" s="599">
        <v>5091</v>
      </c>
      <c r="J148" s="602" t="s">
        <v>280</v>
      </c>
      <c r="K148" s="602" t="s">
        <v>548</v>
      </c>
      <c r="L148" s="602" t="s">
        <v>642</v>
      </c>
      <c r="M148" s="590"/>
      <c r="N148" s="575">
        <f>IF(Q148&lt;&gt;"","S"&amp;TEXT(WEEKNUM(Q148,21),"00"),"")</f>
      </c>
      <c r="O148" s="575">
        <f>IF(Data!$Q148="","",YEAR(Data!$Q148))</f>
      </c>
      <c r="P148" s="575">
        <f>IF(Data!$Q148="","",MONTH(Data!$Q148))</f>
      </c>
      <c r="Q148" s="596"/>
      <c r="R148" s="605"/>
      <c r="S148" s="599"/>
      <c r="T148" s="606"/>
      <c r="U148" s="607"/>
      <c r="V148" s="590"/>
      <c r="W148" s="596"/>
      <c r="X148" s="575">
        <f>IF(AC148&lt;&gt;"","S"&amp;TEXT(WEEKNUM(AC148,21),"00"),"")</f>
      </c>
      <c r="Y148" s="575">
        <f>IF(Data!$AC148="","",YEAR(Data!$AC148))</f>
      </c>
      <c r="Z148" s="575">
        <f>IF(Data!$AC148="","",MONTH(Data!$AC148))</f>
      </c>
      <c r="AA148" s="596"/>
      <c r="AB148" s="608"/>
      <c r="AC148" s="596"/>
      <c r="AD148" s="599"/>
      <c r="AE148" s="596"/>
      <c r="AF148" s="590"/>
      <c r="AG148" s="610"/>
      <c r="AH148" s="590"/>
      <c r="AI148" s="609">
        <v>6</v>
      </c>
      <c r="AJ148" s="610" t="s">
        <v>1038</v>
      </c>
      <c r="AK148" s="590"/>
      <c r="AL148" s="610"/>
      <c r="AM148" s="590"/>
      <c r="AN148" s="602"/>
      <c r="AO148" s="590"/>
      <c r="AP148" s="610" t="s">
        <v>1039</v>
      </c>
      <c r="AQ148" s="590"/>
      <c r="AR148" s="611"/>
      <c r="AS148" s="590"/>
      <c r="AT148" s="612"/>
      <c r="AU148" s="612"/>
      <c r="AV148" s="587">
        <f>IF(AT148="","",S148-AT148)</f>
      </c>
      <c r="AW148" s="652">
        <f>IFERROR(IF(tbl_DCFC[[#This Row], [F Montant HT]]="","",tbl_DCFC[[#This Row], [Marge]]/tbl_DCFC[[#This Row], [F Montant HT]]),"")</f>
      </c>
      <c r="AX148" s="8"/>
      <c r="AY148" s="3"/>
      <c r="AZ148" s="3"/>
      <c r="BA148" s="8"/>
    </row>
    <row x14ac:dyDescent="0.25" r="149" customHeight="1" ht="14.4">
      <c r="A149" s="614">
        <v>25569.042183703703</v>
      </c>
      <c r="B149" s="569">
        <f>IFERROR(INDEX(Tabelle2[BU],MATCH(tbl_DCFC[[#This Row], [Categorie]],CAT,0)),"")</f>
      </c>
      <c r="C149" s="575">
        <f>IF(D149&lt;&gt;"","S"&amp;TEXT(WEEKNUM(D149,21),"00"),"")</f>
      </c>
      <c r="D149" s="614">
        <v>25569.042183703703</v>
      </c>
      <c r="E149" s="598">
        <v>4776</v>
      </c>
      <c r="F149" s="602"/>
      <c r="G149" s="602" t="s">
        <v>862</v>
      </c>
      <c r="H149" s="602"/>
      <c r="I149" s="599"/>
      <c r="J149" s="602" t="s">
        <v>280</v>
      </c>
      <c r="K149" s="602" t="s">
        <v>548</v>
      </c>
      <c r="L149" s="602" t="s">
        <v>774</v>
      </c>
      <c r="M149" s="590"/>
      <c r="N149" s="575">
        <f>IF(Q149&lt;&gt;"","S"&amp;TEXT(WEEKNUM(Q149,21),"00"),"")</f>
      </c>
      <c r="O149" s="575">
        <f>IF(Data!$Q149="","",YEAR(Data!$Q149))</f>
      </c>
      <c r="P149" s="575">
        <f>IF(Data!$Q149="","",MONTH(Data!$Q149))</f>
      </c>
      <c r="Q149" s="596"/>
      <c r="R149" s="605"/>
      <c r="S149" s="599"/>
      <c r="T149" s="606"/>
      <c r="U149" s="607"/>
      <c r="V149" s="590"/>
      <c r="W149" s="596"/>
      <c r="X149" s="575">
        <f>IF(AC149&lt;&gt;"","S"&amp;TEXT(WEEKNUM(AC149,21),"00"),"")</f>
      </c>
      <c r="Y149" s="575">
        <f>IF(Data!$AC149="","",YEAR(Data!$AC149))</f>
      </c>
      <c r="Z149" s="575">
        <f>IF(Data!$AC149="","",MONTH(Data!$AC149))</f>
      </c>
      <c r="AA149" s="596"/>
      <c r="AB149" s="608"/>
      <c r="AC149" s="596"/>
      <c r="AD149" s="599"/>
      <c r="AE149" s="596"/>
      <c r="AF149" s="590"/>
      <c r="AG149" s="610"/>
      <c r="AH149" s="590"/>
      <c r="AI149" s="609">
        <v>1</v>
      </c>
      <c r="AJ149" s="610" t="s">
        <v>1040</v>
      </c>
      <c r="AK149" s="590"/>
      <c r="AL149" s="610"/>
      <c r="AM149" s="590"/>
      <c r="AN149" s="602"/>
      <c r="AO149" s="590"/>
      <c r="AP149" s="610" t="s">
        <v>1041</v>
      </c>
      <c r="AQ149" s="590"/>
      <c r="AR149" s="611"/>
      <c r="AS149" s="590"/>
      <c r="AT149" s="612"/>
      <c r="AU149" s="612"/>
      <c r="AV149" s="587">
        <f>IF(AT149="","",S149-AT149)</f>
      </c>
      <c r="AW149" s="652">
        <f>IFERROR(IF(tbl_DCFC[[#This Row], [F Montant HT]]="","",tbl_DCFC[[#This Row], [Marge]]/tbl_DCFC[[#This Row], [F Montant HT]]),"")</f>
      </c>
      <c r="AX149" s="8"/>
      <c r="AY149" s="3"/>
      <c r="AZ149" s="3"/>
      <c r="BA149" s="8"/>
    </row>
    <row x14ac:dyDescent="0.25" r="150" customHeight="1" ht="14.4">
      <c r="A150" s="647">
        <v>25569.04218375</v>
      </c>
      <c r="B150" s="69">
        <f>IFERROR(INDEX(Tabelle2[BU],MATCH([[#This Row], [[#This Row], Categorie]],CAT,0)),"")</f>
      </c>
      <c r="C150" s="63">
        <f>IF(D151&lt;&gt;"","S"&amp;TEXT(WEEKNUM(D151,21),"00"),"")</f>
      </c>
      <c r="D150" s="647">
        <v>25569.04218375</v>
      </c>
      <c r="E150" s="65">
        <v>4987</v>
      </c>
      <c r="F150" s="41" t="s">
        <v>641</v>
      </c>
      <c r="G150" s="41" t="s">
        <v>336</v>
      </c>
      <c r="H150" s="41"/>
      <c r="I150" s="65">
        <v>4758</v>
      </c>
      <c r="J150" s="41"/>
      <c r="K150" s="41"/>
      <c r="L150" s="41" t="s">
        <v>646</v>
      </c>
      <c r="M150" s="3"/>
      <c r="N150" s="63">
        <f>IF(Q151&lt;&gt;"","S"&amp;TEXT(WEEKNUM(Q151,21),"00"),"")</f>
      </c>
      <c r="O150" s="63">
        <f>IF(Data!$Q151="","",YEAR(Data!$Q151))</f>
      </c>
      <c r="P150" s="63">
        <f>IF(Data!$Q151="","",MONTH(Data!$Q151))</f>
      </c>
      <c r="Q150" s="42" t="s">
        <v>1042</v>
      </c>
      <c r="R150" s="629" t="s">
        <v>1043</v>
      </c>
      <c r="S150" s="65">
        <v>3584</v>
      </c>
      <c r="T150" s="45"/>
      <c r="U150" s="630"/>
      <c r="V150" s="3"/>
      <c r="W150" s="31" t="s">
        <v>1044</v>
      </c>
      <c r="X150" s="69">
        <f>IF(AC151&lt;&gt;"","S"&amp;TEXT(WEEKNUM(AC151,21),"00"),"")</f>
      </c>
      <c r="Y150" s="69">
        <f>IF(Data!$AC151="","",YEAR(Data!$AC151))</f>
      </c>
      <c r="Z150" s="69">
        <f>IF(Data!$AC151="","",MONTH(Data!$AC151))</f>
      </c>
      <c r="AA150" s="637" t="s">
        <v>1045</v>
      </c>
      <c r="AB150" s="8"/>
      <c r="AC150" s="637" t="s">
        <v>1046</v>
      </c>
      <c r="AD150" s="8"/>
      <c r="AE150" s="31"/>
      <c r="AF150" s="3"/>
      <c r="AG150" s="3"/>
      <c r="AH150" s="3"/>
      <c r="AI150" s="8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22"/>
      <c r="AU150" s="22"/>
      <c r="AV150" s="22"/>
      <c r="AW150" s="22"/>
      <c r="AX150" s="8"/>
      <c r="AY150" s="3"/>
      <c r="AZ150" s="3"/>
      <c r="BA150" s="8"/>
    </row>
    <row x14ac:dyDescent="0.25" r="151" customHeight="1" ht="14.4">
      <c r="A151" s="67"/>
      <c r="B151" s="3"/>
      <c r="C151" s="41"/>
      <c r="D151" s="67"/>
      <c r="E151" s="649"/>
      <c r="F151" s="41"/>
      <c r="G151" s="41"/>
      <c r="H151" s="41"/>
      <c r="I151" s="65"/>
      <c r="J151" s="41"/>
      <c r="K151" s="41"/>
      <c r="L151" s="41"/>
      <c r="M151" s="3"/>
      <c r="N151" s="41"/>
      <c r="O151" s="41"/>
      <c r="P151" s="41"/>
      <c r="Q151" s="42"/>
      <c r="R151" s="629"/>
      <c r="S151" s="65"/>
      <c r="T151" s="45"/>
      <c r="U151" s="630"/>
      <c r="V151" s="3"/>
      <c r="W151" s="31"/>
      <c r="X151" s="3"/>
      <c r="Y151" s="3"/>
      <c r="Z151" s="3"/>
      <c r="AA151" s="637"/>
      <c r="AB151" s="8"/>
      <c r="AC151" s="637"/>
      <c r="AD151" s="8"/>
      <c r="AE151" s="31"/>
      <c r="AF151" s="3"/>
      <c r="AG151" s="3"/>
      <c r="AH151" s="3"/>
      <c r="AI151" s="8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22"/>
      <c r="AU151" s="22"/>
      <c r="AV151" s="22"/>
      <c r="AW151" s="22"/>
      <c r="AX151" s="8"/>
      <c r="AY151" s="3"/>
      <c r="AZ151" s="3"/>
      <c r="BA151" s="8"/>
    </row>
    <row x14ac:dyDescent="0.25" r="152" customHeight="1" ht="14.4">
      <c r="A152" s="67"/>
      <c r="B152" s="3"/>
      <c r="C152" s="41"/>
      <c r="D152" s="67"/>
      <c r="E152" s="649"/>
      <c r="F152" s="41"/>
      <c r="G152" s="41"/>
      <c r="H152" s="41"/>
      <c r="I152" s="65"/>
      <c r="J152" s="41"/>
      <c r="K152" s="41"/>
      <c r="L152" s="41"/>
      <c r="M152" s="3"/>
      <c r="N152" s="41"/>
      <c r="O152" s="41"/>
      <c r="P152" s="41"/>
      <c r="Q152" s="42"/>
      <c r="R152" s="629"/>
      <c r="S152" s="65"/>
      <c r="T152" s="45"/>
      <c r="U152" s="630"/>
      <c r="V152" s="3"/>
      <c r="W152" s="31"/>
      <c r="X152" s="3"/>
      <c r="Y152" s="3"/>
      <c r="Z152" s="3"/>
      <c r="AA152" s="637"/>
      <c r="AB152" s="8"/>
      <c r="AC152" s="637"/>
      <c r="AD152" s="8"/>
      <c r="AE152" s="31"/>
      <c r="AF152" s="3"/>
      <c r="AG152" s="3"/>
      <c r="AH152" s="3"/>
      <c r="AI152" s="8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22"/>
      <c r="AU152" s="22"/>
      <c r="AV152" s="22"/>
      <c r="AW152" s="22"/>
      <c r="AX152" s="8"/>
      <c r="AY152" s="3"/>
      <c r="AZ152" s="3"/>
      <c r="BA152" s="8"/>
    </row>
    <row x14ac:dyDescent="0.25" r="153" customHeight="1" ht="14.4">
      <c r="A153" s="67"/>
      <c r="B153" s="3"/>
      <c r="C153" s="41"/>
      <c r="D153" s="67"/>
      <c r="E153" s="649"/>
      <c r="F153" s="41"/>
      <c r="G153" s="41"/>
      <c r="H153" s="41"/>
      <c r="I153" s="65"/>
      <c r="J153" s="41"/>
      <c r="K153" s="41"/>
      <c r="L153" s="41"/>
      <c r="M153" s="3"/>
      <c r="N153" s="41"/>
      <c r="O153" s="41"/>
      <c r="P153" s="41"/>
      <c r="Q153" s="42"/>
      <c r="R153" s="629"/>
      <c r="S153" s="65"/>
      <c r="T153" s="45"/>
      <c r="U153" s="630"/>
      <c r="V153" s="3"/>
      <c r="W153" s="31"/>
      <c r="X153" s="3"/>
      <c r="Y153" s="3"/>
      <c r="Z153" s="3"/>
      <c r="AA153" s="637"/>
      <c r="AB153" s="8"/>
      <c r="AC153" s="637"/>
      <c r="AD153" s="8"/>
      <c r="AE153" s="31"/>
      <c r="AF153" s="3"/>
      <c r="AG153" s="3"/>
      <c r="AH153" s="3"/>
      <c r="AI153" s="8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22"/>
      <c r="AU153" s="22"/>
      <c r="AV153" s="22"/>
      <c r="AW153" s="22"/>
      <c r="AX153" s="8"/>
      <c r="AY153" s="3"/>
      <c r="AZ153" s="3"/>
      <c r="BA153" s="8"/>
    </row>
    <row x14ac:dyDescent="0.25" r="154" customHeight="1" ht="14.4">
      <c r="A154" s="67"/>
      <c r="B154" s="3"/>
      <c r="C154" s="41"/>
      <c r="D154" s="67"/>
      <c r="E154" s="649"/>
      <c r="F154" s="41"/>
      <c r="G154" s="41"/>
      <c r="H154" s="41"/>
      <c r="I154" s="65"/>
      <c r="J154" s="41"/>
      <c r="K154" s="41"/>
      <c r="L154" s="41"/>
      <c r="M154" s="3"/>
      <c r="N154" s="41"/>
      <c r="O154" s="41"/>
      <c r="P154" s="41"/>
      <c r="Q154" s="42"/>
      <c r="R154" s="629"/>
      <c r="S154" s="65"/>
      <c r="T154" s="45"/>
      <c r="U154" s="630"/>
      <c r="V154" s="3"/>
      <c r="W154" s="31"/>
      <c r="X154" s="3"/>
      <c r="Y154" s="3"/>
      <c r="Z154" s="3"/>
      <c r="AA154" s="637"/>
      <c r="AB154" s="8"/>
      <c r="AC154" s="637"/>
      <c r="AD154" s="8"/>
      <c r="AE154" s="31"/>
      <c r="AF154" s="3"/>
      <c r="AG154" s="3"/>
      <c r="AH154" s="3"/>
      <c r="AI154" s="8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22"/>
      <c r="AU154" s="22"/>
      <c r="AV154" s="22"/>
      <c r="AW154" s="22"/>
      <c r="AX154" s="8"/>
      <c r="AY154" s="3"/>
      <c r="AZ154" s="3"/>
      <c r="BA154" s="8"/>
    </row>
    <row x14ac:dyDescent="0.25" r="155" customHeight="1" ht="14.4">
      <c r="A155" s="67"/>
      <c r="B155" s="3"/>
      <c r="C155" s="41"/>
      <c r="D155" s="67"/>
      <c r="E155" s="649"/>
      <c r="F155" s="41"/>
      <c r="G155" s="41"/>
      <c r="H155" s="41"/>
      <c r="I155" s="65"/>
      <c r="J155" s="41"/>
      <c r="K155" s="41"/>
      <c r="L155" s="41"/>
      <c r="M155" s="3"/>
      <c r="N155" s="41"/>
      <c r="O155" s="41"/>
      <c r="P155" s="41"/>
      <c r="Q155" s="42"/>
      <c r="R155" s="629"/>
      <c r="S155" s="65"/>
      <c r="T155" s="45"/>
      <c r="U155" s="630"/>
      <c r="V155" s="3"/>
      <c r="W155" s="31"/>
      <c r="X155" s="3"/>
      <c r="Y155" s="3"/>
      <c r="Z155" s="3"/>
      <c r="AA155" s="637"/>
      <c r="AB155" s="8"/>
      <c r="AC155" s="637"/>
      <c r="AD155" s="8"/>
      <c r="AE155" s="31"/>
      <c r="AF155" s="3"/>
      <c r="AG155" s="3"/>
      <c r="AH155" s="3"/>
      <c r="AI155" s="8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22"/>
      <c r="AU155" s="22"/>
      <c r="AV155" s="22"/>
      <c r="AW155" s="22"/>
      <c r="AX155" s="8"/>
      <c r="AY155" s="3"/>
      <c r="AZ155" s="3"/>
      <c r="BA155" s="8"/>
    </row>
    <row x14ac:dyDescent="0.25" r="156" customHeight="1" ht="14.4">
      <c r="A156" s="67"/>
      <c r="B156" s="3"/>
      <c r="C156" s="41"/>
      <c r="D156" s="67"/>
      <c r="E156" s="649"/>
      <c r="F156" s="41"/>
      <c r="G156" s="41"/>
      <c r="H156" s="41"/>
      <c r="I156" s="65"/>
      <c r="J156" s="41"/>
      <c r="K156" s="41"/>
      <c r="L156" s="41"/>
      <c r="M156" s="3"/>
      <c r="N156" s="41"/>
      <c r="O156" s="41"/>
      <c r="P156" s="41"/>
      <c r="Q156" s="42"/>
      <c r="R156" s="629"/>
      <c r="S156" s="65"/>
      <c r="T156" s="45"/>
      <c r="U156" s="630"/>
      <c r="V156" s="3"/>
      <c r="W156" s="637"/>
      <c r="X156" s="3"/>
      <c r="Y156" s="3"/>
      <c r="Z156" s="3"/>
      <c r="AA156" s="637"/>
      <c r="AB156" s="8"/>
      <c r="AC156" s="637"/>
      <c r="AD156" s="8"/>
      <c r="AE156" s="31"/>
      <c r="AF156" s="3"/>
      <c r="AG156" s="3"/>
      <c r="AH156" s="3"/>
      <c r="AI156" s="8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10"/>
      <c r="AU156" s="10"/>
      <c r="AV156" s="10"/>
      <c r="AW156" s="10"/>
      <c r="AX156" s="8"/>
      <c r="AY156" s="3"/>
      <c r="AZ156" s="3"/>
      <c r="BA156" s="8"/>
    </row>
    <row x14ac:dyDescent="0.25" r="157" customHeight="1" ht="14.4">
      <c r="A157" s="67"/>
      <c r="B157" s="3"/>
      <c r="C157" s="41"/>
      <c r="D157" s="67"/>
      <c r="E157" s="649"/>
      <c r="F157" s="41"/>
      <c r="G157" s="41"/>
      <c r="H157" s="41"/>
      <c r="I157" s="65"/>
      <c r="J157" s="41"/>
      <c r="K157" s="41"/>
      <c r="L157" s="41"/>
      <c r="M157" s="3"/>
      <c r="N157" s="41"/>
      <c r="O157" s="41"/>
      <c r="P157" s="41"/>
      <c r="Q157" s="42"/>
      <c r="R157" s="629"/>
      <c r="S157" s="65"/>
      <c r="T157" s="45"/>
      <c r="U157" s="630"/>
      <c r="V157" s="3"/>
      <c r="W157" s="637"/>
      <c r="X157" s="3"/>
      <c r="Y157" s="3"/>
      <c r="Z157" s="3"/>
      <c r="AA157" s="637"/>
      <c r="AB157" s="8"/>
      <c r="AC157" s="637"/>
      <c r="AD157" s="8"/>
      <c r="AE157" s="31"/>
      <c r="AF157" s="3"/>
      <c r="AG157" s="3"/>
      <c r="AH157" s="3"/>
      <c r="AI157" s="8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10"/>
      <c r="AU157" s="10"/>
      <c r="AV157" s="10"/>
      <c r="AW157" s="10"/>
      <c r="AX157" s="8"/>
      <c r="AY157" s="3"/>
      <c r="AZ157" s="3"/>
      <c r="BA157" s="8"/>
    </row>
    <row x14ac:dyDescent="0.25" r="158" customHeight="1" ht="14.4">
      <c r="A158" s="67"/>
      <c r="B158" s="3"/>
      <c r="C158" s="41"/>
      <c r="D158" s="67"/>
      <c r="E158" s="649"/>
      <c r="F158" s="41"/>
      <c r="G158" s="41"/>
      <c r="H158" s="41"/>
      <c r="I158" s="65"/>
      <c r="J158" s="41"/>
      <c r="K158" s="41"/>
      <c r="L158" s="41"/>
      <c r="M158" s="3"/>
      <c r="N158" s="41"/>
      <c r="O158" s="41"/>
      <c r="P158" s="41"/>
      <c r="Q158" s="42"/>
      <c r="R158" s="629"/>
      <c r="S158" s="65"/>
      <c r="T158" s="45"/>
      <c r="U158" s="630"/>
      <c r="V158" s="3"/>
      <c r="W158" s="637"/>
      <c r="X158" s="3"/>
      <c r="Y158" s="3"/>
      <c r="Z158" s="3"/>
      <c r="AA158" s="637"/>
      <c r="AB158" s="8"/>
      <c r="AC158" s="637"/>
      <c r="AD158" s="8"/>
      <c r="AE158" s="31"/>
      <c r="AF158" s="3"/>
      <c r="AG158" s="3"/>
      <c r="AH158" s="3"/>
      <c r="AI158" s="8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10"/>
      <c r="AU158" s="10"/>
      <c r="AV158" s="10"/>
      <c r="AW158" s="10"/>
      <c r="AX158" s="8"/>
      <c r="AY158" s="3"/>
      <c r="AZ158" s="3"/>
      <c r="BA158" s="8"/>
    </row>
    <row x14ac:dyDescent="0.25" r="159" customHeight="1" ht="14.4">
      <c r="A159" s="67"/>
      <c r="B159" s="3"/>
      <c r="C159" s="41"/>
      <c r="D159" s="67"/>
      <c r="E159" s="649"/>
      <c r="F159" s="41"/>
      <c r="G159" s="41"/>
      <c r="H159" s="41"/>
      <c r="I159" s="65"/>
      <c r="J159" s="41"/>
      <c r="K159" s="41"/>
      <c r="L159" s="41"/>
      <c r="M159" s="3"/>
      <c r="N159" s="41"/>
      <c r="O159" s="41"/>
      <c r="P159" s="41"/>
      <c r="Q159" s="42"/>
      <c r="R159" s="629"/>
      <c r="S159" s="65"/>
      <c r="T159" s="45"/>
      <c r="U159" s="630"/>
      <c r="V159" s="3"/>
      <c r="W159" s="637"/>
      <c r="X159" s="3"/>
      <c r="Y159" s="3"/>
      <c r="Z159" s="3"/>
      <c r="AA159" s="637"/>
      <c r="AB159" s="8"/>
      <c r="AC159" s="637"/>
      <c r="AD159" s="8"/>
      <c r="AE159" s="31"/>
      <c r="AF159" s="3"/>
      <c r="AG159" s="3"/>
      <c r="AH159" s="3"/>
      <c r="AI159" s="8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10"/>
      <c r="AU159" s="10"/>
      <c r="AV159" s="10"/>
      <c r="AW159" s="10"/>
      <c r="AX159" s="8"/>
      <c r="AY159" s="3"/>
      <c r="AZ159" s="3"/>
      <c r="BA159" s="8"/>
    </row>
    <row x14ac:dyDescent="0.25" r="160" customHeight="1" ht="14.4">
      <c r="A160" s="67"/>
      <c r="B160" s="3"/>
      <c r="C160" s="41"/>
      <c r="D160" s="67"/>
      <c r="E160" s="649"/>
      <c r="F160" s="41"/>
      <c r="G160" s="41"/>
      <c r="H160" s="41"/>
      <c r="I160" s="65"/>
      <c r="J160" s="41"/>
      <c r="K160" s="41"/>
      <c r="L160" s="41"/>
      <c r="M160" s="3"/>
      <c r="N160" s="41"/>
      <c r="O160" s="41"/>
      <c r="P160" s="41"/>
      <c r="Q160" s="42"/>
      <c r="R160" s="629"/>
      <c r="S160" s="65"/>
      <c r="T160" s="45"/>
      <c r="U160" s="630"/>
      <c r="V160" s="3"/>
      <c r="W160" s="637"/>
      <c r="X160" s="3"/>
      <c r="Y160" s="3"/>
      <c r="Z160" s="3"/>
      <c r="AA160" s="637"/>
      <c r="AB160" s="8"/>
      <c r="AC160" s="637"/>
      <c r="AD160" s="8"/>
      <c r="AE160" s="31"/>
      <c r="AF160" s="3"/>
      <c r="AG160" s="3"/>
      <c r="AH160" s="3"/>
      <c r="AI160" s="8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10"/>
      <c r="AU160" s="10"/>
      <c r="AV160" s="10"/>
      <c r="AW160" s="10"/>
      <c r="AX160" s="8"/>
      <c r="AY160" s="3"/>
      <c r="AZ160" s="3"/>
      <c r="BA160" s="8"/>
    </row>
    <row x14ac:dyDescent="0.25" r="161" customHeight="1" ht="14.4">
      <c r="A161" s="67"/>
      <c r="B161" s="3"/>
      <c r="C161" s="41"/>
      <c r="D161" s="67"/>
      <c r="E161" s="649"/>
      <c r="F161" s="41"/>
      <c r="G161" s="41"/>
      <c r="H161" s="41"/>
      <c r="I161" s="65"/>
      <c r="J161" s="41"/>
      <c r="K161" s="41"/>
      <c r="L161" s="41"/>
      <c r="M161" s="3"/>
      <c r="N161" s="41"/>
      <c r="O161" s="41"/>
      <c r="P161" s="41"/>
      <c r="Q161" s="42"/>
      <c r="R161" s="629"/>
      <c r="S161" s="65"/>
      <c r="T161" s="45"/>
      <c r="U161" s="630"/>
      <c r="V161" s="3"/>
      <c r="W161" s="637"/>
      <c r="X161" s="3"/>
      <c r="Y161" s="3"/>
      <c r="Z161" s="3"/>
      <c r="AA161" s="637"/>
      <c r="AB161" s="8"/>
      <c r="AC161" s="637"/>
      <c r="AD161" s="8"/>
      <c r="AE161" s="31"/>
      <c r="AF161" s="3"/>
      <c r="AG161" s="3"/>
      <c r="AH161" s="3"/>
      <c r="AI161" s="8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10"/>
      <c r="AU161" s="10"/>
      <c r="AV161" s="10"/>
      <c r="AW161" s="10"/>
      <c r="AX161" s="8"/>
      <c r="AY161" s="3"/>
      <c r="AZ161" s="3"/>
      <c r="BA161" s="8"/>
    </row>
    <row x14ac:dyDescent="0.25" r="162" customHeight="1" ht="14.4">
      <c r="A162" s="67"/>
      <c r="B162" s="3"/>
      <c r="C162" s="41"/>
      <c r="D162" s="67"/>
      <c r="E162" s="649"/>
      <c r="F162" s="41"/>
      <c r="G162" s="41"/>
      <c r="H162" s="41"/>
      <c r="I162" s="65"/>
      <c r="J162" s="41"/>
      <c r="K162" s="41"/>
      <c r="L162" s="41"/>
      <c r="M162" s="3"/>
      <c r="N162" s="41"/>
      <c r="O162" s="41"/>
      <c r="P162" s="41"/>
      <c r="Q162" s="42"/>
      <c r="R162" s="629"/>
      <c r="S162" s="65"/>
      <c r="T162" s="45"/>
      <c r="U162" s="630"/>
      <c r="V162" s="3"/>
      <c r="W162" s="637"/>
      <c r="X162" s="3"/>
      <c r="Y162" s="3"/>
      <c r="Z162" s="3"/>
      <c r="AA162" s="637"/>
      <c r="AB162" s="8"/>
      <c r="AC162" s="637"/>
      <c r="AD162" s="8"/>
      <c r="AE162" s="31"/>
      <c r="AF162" s="3"/>
      <c r="AG162" s="3"/>
      <c r="AH162" s="3"/>
      <c r="AI162" s="8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10"/>
      <c r="AU162" s="10"/>
      <c r="AV162" s="10"/>
      <c r="AW162" s="10"/>
      <c r="AX162" s="8"/>
      <c r="AY162" s="3"/>
      <c r="AZ162" s="3"/>
      <c r="BA162" s="8"/>
    </row>
    <row x14ac:dyDescent="0.25" r="163" customHeight="1" ht="14.4">
      <c r="A163" s="67"/>
      <c r="B163" s="3"/>
      <c r="C163" s="41"/>
      <c r="D163" s="67"/>
      <c r="E163" s="649"/>
      <c r="F163" s="41"/>
      <c r="G163" s="41"/>
      <c r="H163" s="41"/>
      <c r="I163" s="65"/>
      <c r="J163" s="41"/>
      <c r="K163" s="41"/>
      <c r="L163" s="41"/>
      <c r="M163" s="3"/>
      <c r="N163" s="41"/>
      <c r="O163" s="41"/>
      <c r="P163" s="41"/>
      <c r="Q163" s="42"/>
      <c r="R163" s="629"/>
      <c r="S163" s="65"/>
      <c r="T163" s="45"/>
      <c r="U163" s="630"/>
      <c r="V163" s="3"/>
      <c r="W163" s="637"/>
      <c r="X163" s="3"/>
      <c r="Y163" s="3"/>
      <c r="Z163" s="3"/>
      <c r="AA163" s="637"/>
      <c r="AB163" s="8"/>
      <c r="AC163" s="637"/>
      <c r="AD163" s="8"/>
      <c r="AE163" s="31"/>
      <c r="AF163" s="3"/>
      <c r="AG163" s="3"/>
      <c r="AH163" s="3"/>
      <c r="AI163" s="8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10"/>
      <c r="AU163" s="10"/>
      <c r="AV163" s="10"/>
      <c r="AW163" s="10"/>
      <c r="AX163" s="8"/>
      <c r="AY163" s="3"/>
      <c r="AZ163" s="3"/>
      <c r="BA163" s="8"/>
    </row>
    <row x14ac:dyDescent="0.25" r="164" customHeight="1" ht="14.4">
      <c r="A164" s="67"/>
      <c r="B164" s="3"/>
      <c r="C164" s="41"/>
      <c r="D164" s="67"/>
      <c r="E164" s="649"/>
      <c r="F164" s="41"/>
      <c r="G164" s="41"/>
      <c r="H164" s="41"/>
      <c r="I164" s="65"/>
      <c r="J164" s="41"/>
      <c r="K164" s="41"/>
      <c r="L164" s="41"/>
      <c r="M164" s="3"/>
      <c r="N164" s="41"/>
      <c r="O164" s="41"/>
      <c r="P164" s="41"/>
      <c r="Q164" s="42"/>
      <c r="R164" s="629"/>
      <c r="S164" s="65"/>
      <c r="T164" s="45"/>
      <c r="U164" s="630"/>
      <c r="V164" s="3"/>
      <c r="W164" s="637"/>
      <c r="X164" s="3"/>
      <c r="Y164" s="3"/>
      <c r="Z164" s="3"/>
      <c r="AA164" s="637"/>
      <c r="AB164" s="8"/>
      <c r="AC164" s="637"/>
      <c r="AD164" s="8"/>
      <c r="AE164" s="31"/>
      <c r="AF164" s="3"/>
      <c r="AG164" s="3"/>
      <c r="AH164" s="3"/>
      <c r="AI164" s="8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10"/>
      <c r="AU164" s="10"/>
      <c r="AV164" s="10"/>
      <c r="AW164" s="10"/>
      <c r="AX164" s="8"/>
      <c r="AY164" s="3"/>
      <c r="AZ164" s="3"/>
      <c r="BA164" s="8"/>
    </row>
    <row x14ac:dyDescent="0.25" r="165" customHeight="1" ht="14.4">
      <c r="A165" s="67"/>
      <c r="B165" s="3"/>
      <c r="C165" s="41"/>
      <c r="D165" s="67"/>
      <c r="E165" s="649"/>
      <c r="F165" s="41"/>
      <c r="G165" s="41"/>
      <c r="H165" s="41"/>
      <c r="I165" s="65"/>
      <c r="J165" s="41"/>
      <c r="K165" s="41"/>
      <c r="L165" s="41"/>
      <c r="M165" s="3"/>
      <c r="N165" s="41"/>
      <c r="O165" s="41"/>
      <c r="P165" s="41"/>
      <c r="Q165" s="42"/>
      <c r="R165" s="629"/>
      <c r="S165" s="65"/>
      <c r="T165" s="45"/>
      <c r="U165" s="630"/>
      <c r="V165" s="3"/>
      <c r="W165" s="637"/>
      <c r="X165" s="3"/>
      <c r="Y165" s="3"/>
      <c r="Z165" s="3"/>
      <c r="AA165" s="637"/>
      <c r="AB165" s="8"/>
      <c r="AC165" s="637"/>
      <c r="AD165" s="8"/>
      <c r="AE165" s="31"/>
      <c r="AF165" s="3"/>
      <c r="AG165" s="3"/>
      <c r="AH165" s="3"/>
      <c r="AI165" s="8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10"/>
      <c r="AU165" s="10"/>
      <c r="AV165" s="10"/>
      <c r="AW165" s="10"/>
      <c r="AX165" s="8"/>
      <c r="AY165" s="3"/>
      <c r="AZ165" s="3"/>
      <c r="BA165" s="8"/>
    </row>
    <row x14ac:dyDescent="0.25" r="166" customHeight="1" ht="14.4">
      <c r="A166" s="67"/>
      <c r="B166" s="3"/>
      <c r="C166" s="41"/>
      <c r="D166" s="67"/>
      <c r="E166" s="649"/>
      <c r="F166" s="41"/>
      <c r="G166" s="41"/>
      <c r="H166" s="41"/>
      <c r="I166" s="65"/>
      <c r="J166" s="41"/>
      <c r="K166" s="41"/>
      <c r="L166" s="41"/>
      <c r="M166" s="3"/>
      <c r="N166" s="41"/>
      <c r="O166" s="41"/>
      <c r="P166" s="41"/>
      <c r="Q166" s="42"/>
      <c r="R166" s="629"/>
      <c r="S166" s="65"/>
      <c r="T166" s="45"/>
      <c r="U166" s="630"/>
      <c r="V166" s="3"/>
      <c r="W166" s="637"/>
      <c r="X166" s="3"/>
      <c r="Y166" s="3"/>
      <c r="Z166" s="3"/>
      <c r="AA166" s="637"/>
      <c r="AB166" s="8"/>
      <c r="AC166" s="637"/>
      <c r="AD166" s="8"/>
      <c r="AE166" s="31"/>
      <c r="AF166" s="3"/>
      <c r="AG166" s="3"/>
      <c r="AH166" s="3"/>
      <c r="AI166" s="8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10"/>
      <c r="AU166" s="10"/>
      <c r="AV166" s="10"/>
      <c r="AW166" s="10"/>
      <c r="AX166" s="8"/>
      <c r="AY166" s="3"/>
      <c r="AZ166" s="3"/>
      <c r="BA166" s="8"/>
    </row>
    <row x14ac:dyDescent="0.25" r="167" customHeight="1" ht="14.4">
      <c r="A167" s="67"/>
      <c r="B167" s="3"/>
      <c r="C167" s="41"/>
      <c r="D167" s="67"/>
      <c r="E167" s="649"/>
      <c r="F167" s="41"/>
      <c r="G167" s="41"/>
      <c r="H167" s="41"/>
      <c r="I167" s="65"/>
      <c r="J167" s="41"/>
      <c r="K167" s="41"/>
      <c r="L167" s="41"/>
      <c r="M167" s="3"/>
      <c r="N167" s="41"/>
      <c r="O167" s="41"/>
      <c r="P167" s="41"/>
      <c r="Q167" s="42"/>
      <c r="R167" s="629"/>
      <c r="S167" s="65"/>
      <c r="T167" s="45"/>
      <c r="U167" s="630"/>
      <c r="V167" s="3"/>
      <c r="W167" s="637"/>
      <c r="X167" s="3"/>
      <c r="Y167" s="3"/>
      <c r="Z167" s="3"/>
      <c r="AA167" s="637"/>
      <c r="AB167" s="8"/>
      <c r="AC167" s="637"/>
      <c r="AD167" s="8"/>
      <c r="AE167" s="31"/>
      <c r="AF167" s="3"/>
      <c r="AG167" s="3"/>
      <c r="AH167" s="3"/>
      <c r="AI167" s="8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10"/>
      <c r="AU167" s="10"/>
      <c r="AV167" s="10"/>
      <c r="AW167" s="10"/>
      <c r="AX167" s="8"/>
      <c r="AY167" s="3"/>
      <c r="AZ167" s="3"/>
      <c r="BA167" s="8"/>
    </row>
    <row x14ac:dyDescent="0.25" r="168" customHeight="1" ht="14.4">
      <c r="A168" s="67"/>
      <c r="B168" s="3"/>
      <c r="C168" s="41"/>
      <c r="D168" s="67"/>
      <c r="E168" s="649"/>
      <c r="F168" s="41"/>
      <c r="G168" s="41"/>
      <c r="H168" s="41"/>
      <c r="I168" s="65"/>
      <c r="J168" s="41"/>
      <c r="K168" s="41"/>
      <c r="L168" s="41"/>
      <c r="M168" s="3"/>
      <c r="N168" s="41"/>
      <c r="O168" s="41"/>
      <c r="P168" s="41"/>
      <c r="Q168" s="42"/>
      <c r="R168" s="629"/>
      <c r="S168" s="65"/>
      <c r="T168" s="45"/>
      <c r="U168" s="630"/>
      <c r="V168" s="3"/>
      <c r="W168" s="637"/>
      <c r="X168" s="3"/>
      <c r="Y168" s="3"/>
      <c r="Z168" s="3"/>
      <c r="AA168" s="637"/>
      <c r="AB168" s="8"/>
      <c r="AC168" s="637"/>
      <c r="AD168" s="8"/>
      <c r="AE168" s="31"/>
      <c r="AF168" s="3"/>
      <c r="AG168" s="3"/>
      <c r="AH168" s="3"/>
      <c r="AI168" s="8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10"/>
      <c r="AU168" s="10"/>
      <c r="AV168" s="10"/>
      <c r="AW168" s="10"/>
      <c r="AX168" s="8"/>
      <c r="AY168" s="3"/>
      <c r="AZ168" s="3"/>
      <c r="BA168" s="8"/>
    </row>
    <row x14ac:dyDescent="0.25" r="169" customHeight="1" ht="14.4">
      <c r="A169" s="67"/>
      <c r="B169" s="3"/>
      <c r="C169" s="41"/>
      <c r="D169" s="67"/>
      <c r="E169" s="649"/>
      <c r="F169" s="41"/>
      <c r="G169" s="41"/>
      <c r="H169" s="41"/>
      <c r="I169" s="65"/>
      <c r="J169" s="41"/>
      <c r="K169" s="41"/>
      <c r="L169" s="41"/>
      <c r="M169" s="3"/>
      <c r="N169" s="41"/>
      <c r="O169" s="41"/>
      <c r="P169" s="41"/>
      <c r="Q169" s="42"/>
      <c r="R169" s="629"/>
      <c r="S169" s="65"/>
      <c r="T169" s="45"/>
      <c r="U169" s="630"/>
      <c r="V169" s="3"/>
      <c r="W169" s="637"/>
      <c r="X169" s="3"/>
      <c r="Y169" s="3"/>
      <c r="Z169" s="3"/>
      <c r="AA169" s="637"/>
      <c r="AB169" s="8"/>
      <c r="AC169" s="637"/>
      <c r="AD169" s="8"/>
      <c r="AE169" s="31"/>
      <c r="AF169" s="3"/>
      <c r="AG169" s="3"/>
      <c r="AH169" s="3"/>
      <c r="AI169" s="8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10"/>
      <c r="AU169" s="10"/>
      <c r="AV169" s="10"/>
      <c r="AW169" s="10"/>
      <c r="AX169" s="8"/>
      <c r="AY169" s="3"/>
      <c r="AZ169" s="3"/>
      <c r="BA169" s="8"/>
    </row>
    <row x14ac:dyDescent="0.25" r="170" customHeight="1" ht="14.4">
      <c r="A170" s="67"/>
      <c r="B170" s="3"/>
      <c r="C170" s="41"/>
      <c r="D170" s="67"/>
      <c r="E170" s="649"/>
      <c r="F170" s="41"/>
      <c r="G170" s="41"/>
      <c r="H170" s="41"/>
      <c r="I170" s="65"/>
      <c r="J170" s="41"/>
      <c r="K170" s="41"/>
      <c r="L170" s="41"/>
      <c r="M170" s="3"/>
      <c r="N170" s="41"/>
      <c r="O170" s="41"/>
      <c r="P170" s="41"/>
      <c r="Q170" s="42"/>
      <c r="R170" s="629"/>
      <c r="S170" s="65"/>
      <c r="T170" s="45"/>
      <c r="U170" s="630"/>
      <c r="V170" s="3"/>
      <c r="W170" s="637"/>
      <c r="X170" s="3"/>
      <c r="Y170" s="3"/>
      <c r="Z170" s="3"/>
      <c r="AA170" s="637"/>
      <c r="AB170" s="8"/>
      <c r="AC170" s="637"/>
      <c r="AD170" s="8"/>
      <c r="AE170" s="31"/>
      <c r="AF170" s="3"/>
      <c r="AG170" s="3"/>
      <c r="AH170" s="3"/>
      <c r="AI170" s="8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10"/>
      <c r="AU170" s="10"/>
      <c r="AV170" s="10"/>
      <c r="AW170" s="10"/>
      <c r="AX170" s="8"/>
      <c r="AY170" s="3"/>
      <c r="AZ170" s="3"/>
      <c r="BA170" s="8"/>
    </row>
    <row x14ac:dyDescent="0.25" r="171" customHeight="1" ht="14.4">
      <c r="A171" s="67"/>
      <c r="B171" s="3"/>
      <c r="C171" s="41"/>
      <c r="D171" s="67"/>
      <c r="E171" s="649"/>
      <c r="F171" s="41"/>
      <c r="G171" s="41"/>
      <c r="H171" s="41"/>
      <c r="I171" s="65"/>
      <c r="J171" s="41"/>
      <c r="K171" s="41"/>
      <c r="L171" s="41"/>
      <c r="M171" s="3"/>
      <c r="N171" s="41"/>
      <c r="O171" s="41"/>
      <c r="P171" s="41"/>
      <c r="Q171" s="42"/>
      <c r="R171" s="629"/>
      <c r="S171" s="65"/>
      <c r="T171" s="45"/>
      <c r="U171" s="630"/>
      <c r="V171" s="3"/>
      <c r="W171" s="637"/>
      <c r="X171" s="3"/>
      <c r="Y171" s="3"/>
      <c r="Z171" s="3"/>
      <c r="AA171" s="637"/>
      <c r="AB171" s="8"/>
      <c r="AC171" s="637"/>
      <c r="AD171" s="8"/>
      <c r="AE171" s="31"/>
      <c r="AF171" s="3"/>
      <c r="AG171" s="3"/>
      <c r="AH171" s="3"/>
      <c r="AI171" s="8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10"/>
      <c r="AU171" s="10"/>
      <c r="AV171" s="10"/>
      <c r="AW171" s="10"/>
      <c r="AX171" s="8"/>
      <c r="AY171" s="3"/>
      <c r="AZ171" s="3"/>
      <c r="BA171" s="8"/>
    </row>
    <row x14ac:dyDescent="0.25" r="172" customHeight="1" ht="14.4">
      <c r="A172" s="67"/>
      <c r="B172" s="3"/>
      <c r="C172" s="41"/>
      <c r="D172" s="67"/>
      <c r="E172" s="649"/>
      <c r="F172" s="41"/>
      <c r="G172" s="41"/>
      <c r="H172" s="41"/>
      <c r="I172" s="65"/>
      <c r="J172" s="41"/>
      <c r="K172" s="41"/>
      <c r="L172" s="41"/>
      <c r="M172" s="3"/>
      <c r="N172" s="41"/>
      <c r="O172" s="41"/>
      <c r="P172" s="41"/>
      <c r="Q172" s="42"/>
      <c r="R172" s="629"/>
      <c r="S172" s="65"/>
      <c r="T172" s="45"/>
      <c r="U172" s="630"/>
      <c r="V172" s="3"/>
      <c r="W172" s="637"/>
      <c r="X172" s="3"/>
      <c r="Y172" s="3"/>
      <c r="Z172" s="3"/>
      <c r="AA172" s="637"/>
      <c r="AB172" s="8"/>
      <c r="AC172" s="637"/>
      <c r="AD172" s="8"/>
      <c r="AE172" s="31"/>
      <c r="AF172" s="3"/>
      <c r="AG172" s="3"/>
      <c r="AH172" s="3"/>
      <c r="AI172" s="8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10"/>
      <c r="AU172" s="10"/>
      <c r="AV172" s="10"/>
      <c r="AW172" s="10"/>
      <c r="AX172" s="8"/>
      <c r="AY172" s="3"/>
      <c r="AZ172" s="3"/>
      <c r="BA172" s="8"/>
    </row>
    <row x14ac:dyDescent="0.25" r="173" customHeight="1" ht="14.4">
      <c r="A173" s="67"/>
      <c r="B173" s="3"/>
      <c r="C173" s="41"/>
      <c r="D173" s="67"/>
      <c r="E173" s="649"/>
      <c r="F173" s="41"/>
      <c r="G173" s="41"/>
      <c r="H173" s="41"/>
      <c r="I173" s="65"/>
      <c r="J173" s="41"/>
      <c r="K173" s="41"/>
      <c r="L173" s="41"/>
      <c r="M173" s="3"/>
      <c r="N173" s="41"/>
      <c r="O173" s="41"/>
      <c r="P173" s="41"/>
      <c r="Q173" s="42"/>
      <c r="R173" s="629"/>
      <c r="S173" s="65"/>
      <c r="T173" s="45"/>
      <c r="U173" s="630"/>
      <c r="V173" s="3"/>
      <c r="W173" s="637"/>
      <c r="X173" s="3"/>
      <c r="Y173" s="3"/>
      <c r="Z173" s="3"/>
      <c r="AA173" s="637"/>
      <c r="AB173" s="8"/>
      <c r="AC173" s="637"/>
      <c r="AD173" s="8"/>
      <c r="AE173" s="31"/>
      <c r="AF173" s="3"/>
      <c r="AG173" s="3"/>
      <c r="AH173" s="3"/>
      <c r="AI173" s="8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10"/>
      <c r="AU173" s="10"/>
      <c r="AV173" s="10"/>
      <c r="AW173" s="10"/>
      <c r="AX173" s="8"/>
      <c r="AY173" s="3"/>
      <c r="AZ173" s="3"/>
      <c r="BA173" s="8"/>
    </row>
    <row x14ac:dyDescent="0.25" r="174" customHeight="1" ht="14.4">
      <c r="A174" s="67"/>
      <c r="B174" s="3"/>
      <c r="C174" s="41"/>
      <c r="D174" s="67"/>
      <c r="E174" s="649"/>
      <c r="F174" s="41"/>
      <c r="G174" s="41"/>
      <c r="H174" s="41"/>
      <c r="I174" s="65"/>
      <c r="J174" s="41"/>
      <c r="K174" s="41"/>
      <c r="L174" s="41"/>
      <c r="M174" s="3"/>
      <c r="N174" s="41"/>
      <c r="O174" s="41"/>
      <c r="P174" s="41"/>
      <c r="Q174" s="42"/>
      <c r="R174" s="629"/>
      <c r="S174" s="65"/>
      <c r="T174" s="45"/>
      <c r="U174" s="630"/>
      <c r="V174" s="3"/>
      <c r="W174" s="637"/>
      <c r="X174" s="3"/>
      <c r="Y174" s="3"/>
      <c r="Z174" s="3"/>
      <c r="AA174" s="637"/>
      <c r="AB174" s="8"/>
      <c r="AC174" s="637"/>
      <c r="AD174" s="8"/>
      <c r="AE174" s="31"/>
      <c r="AF174" s="3"/>
      <c r="AG174" s="3"/>
      <c r="AH174" s="3"/>
      <c r="AI174" s="8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10"/>
      <c r="AU174" s="10"/>
      <c r="AV174" s="10"/>
      <c r="AW174" s="10"/>
      <c r="AX174" s="8"/>
      <c r="AY174" s="3"/>
      <c r="AZ174" s="3"/>
      <c r="BA174" s="8"/>
    </row>
    <row x14ac:dyDescent="0.25" r="175" customHeight="1" ht="14.4">
      <c r="A175" s="67"/>
      <c r="B175" s="3"/>
      <c r="C175" s="41"/>
      <c r="D175" s="67"/>
      <c r="E175" s="649"/>
      <c r="F175" s="41"/>
      <c r="G175" s="41"/>
      <c r="H175" s="41"/>
      <c r="I175" s="65"/>
      <c r="J175" s="41"/>
      <c r="K175" s="41"/>
      <c r="L175" s="41"/>
      <c r="M175" s="3"/>
      <c r="N175" s="41"/>
      <c r="O175" s="41"/>
      <c r="P175" s="41"/>
      <c r="Q175" s="42"/>
      <c r="R175" s="629"/>
      <c r="S175" s="65"/>
      <c r="T175" s="45"/>
      <c r="U175" s="630"/>
      <c r="V175" s="3"/>
      <c r="W175" s="637"/>
      <c r="X175" s="3"/>
      <c r="Y175" s="3"/>
      <c r="Z175" s="3"/>
      <c r="AA175" s="637"/>
      <c r="AB175" s="8"/>
      <c r="AC175" s="637"/>
      <c r="AD175" s="8"/>
      <c r="AE175" s="31"/>
      <c r="AF175" s="3"/>
      <c r="AG175" s="3"/>
      <c r="AH175" s="3"/>
      <c r="AI175" s="8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10"/>
      <c r="AU175" s="10"/>
      <c r="AV175" s="10"/>
      <c r="AW175" s="10"/>
      <c r="AX175" s="8"/>
      <c r="AY175" s="3"/>
      <c r="AZ175" s="3"/>
      <c r="BA175" s="8"/>
    </row>
    <row x14ac:dyDescent="0.25" r="176" customHeight="1" ht="14.4">
      <c r="A176" s="67"/>
      <c r="B176" s="3"/>
      <c r="C176" s="41"/>
      <c r="D176" s="67"/>
      <c r="E176" s="649"/>
      <c r="F176" s="41"/>
      <c r="G176" s="41"/>
      <c r="H176" s="41"/>
      <c r="I176" s="65"/>
      <c r="J176" s="41"/>
      <c r="K176" s="41"/>
      <c r="L176" s="41"/>
      <c r="M176" s="3"/>
      <c r="N176" s="41"/>
      <c r="O176" s="41"/>
      <c r="P176" s="41"/>
      <c r="Q176" s="42"/>
      <c r="R176" s="629"/>
      <c r="S176" s="65"/>
      <c r="T176" s="45"/>
      <c r="U176" s="630"/>
      <c r="V176" s="3"/>
      <c r="W176" s="637"/>
      <c r="X176" s="3"/>
      <c r="Y176" s="3"/>
      <c r="Z176" s="3"/>
      <c r="AA176" s="637"/>
      <c r="AB176" s="8"/>
      <c r="AC176" s="637"/>
      <c r="AD176" s="8"/>
      <c r="AE176" s="31"/>
      <c r="AF176" s="3"/>
      <c r="AG176" s="3"/>
      <c r="AH176" s="3"/>
      <c r="AI176" s="8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10"/>
      <c r="AU176" s="10"/>
      <c r="AV176" s="10"/>
      <c r="AW176" s="10"/>
      <c r="AX176" s="8"/>
      <c r="AY176" s="3"/>
      <c r="AZ176" s="3"/>
      <c r="BA176" s="8"/>
    </row>
    <row x14ac:dyDescent="0.25" r="177" customHeight="1" ht="14.4">
      <c r="A177" s="67"/>
      <c r="B177" s="3"/>
      <c r="C177" s="41"/>
      <c r="D177" s="67"/>
      <c r="E177" s="649"/>
      <c r="F177" s="41"/>
      <c r="G177" s="41"/>
      <c r="H177" s="41"/>
      <c r="I177" s="65"/>
      <c r="J177" s="41"/>
      <c r="K177" s="41"/>
      <c r="L177" s="41"/>
      <c r="M177" s="3"/>
      <c r="N177" s="41"/>
      <c r="O177" s="41"/>
      <c r="P177" s="41"/>
      <c r="Q177" s="42"/>
      <c r="R177" s="629"/>
      <c r="S177" s="65"/>
      <c r="T177" s="45"/>
      <c r="U177" s="630"/>
      <c r="V177" s="3"/>
      <c r="W177" s="637"/>
      <c r="X177" s="3"/>
      <c r="Y177" s="3"/>
      <c r="Z177" s="3"/>
      <c r="AA177" s="637"/>
      <c r="AB177" s="8"/>
      <c r="AC177" s="637"/>
      <c r="AD177" s="8"/>
      <c r="AE177" s="31"/>
      <c r="AF177" s="3"/>
      <c r="AG177" s="3"/>
      <c r="AH177" s="3"/>
      <c r="AI177" s="8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10"/>
      <c r="AU177" s="10"/>
      <c r="AV177" s="10"/>
      <c r="AW177" s="10"/>
      <c r="AX177" s="8"/>
      <c r="AY177" s="3"/>
      <c r="AZ177" s="3"/>
      <c r="BA177" s="8"/>
    </row>
    <row x14ac:dyDescent="0.25" r="178" customHeight="1" ht="14.4">
      <c r="A178" s="67"/>
      <c r="B178" s="3"/>
      <c r="C178" s="41"/>
      <c r="D178" s="67"/>
      <c r="E178" s="649"/>
      <c r="F178" s="41"/>
      <c r="G178" s="41"/>
      <c r="H178" s="41"/>
      <c r="I178" s="65"/>
      <c r="J178" s="41"/>
      <c r="K178" s="41"/>
      <c r="L178" s="41"/>
      <c r="M178" s="3"/>
      <c r="N178" s="41"/>
      <c r="O178" s="41"/>
      <c r="P178" s="41"/>
      <c r="Q178" s="42"/>
      <c r="R178" s="629"/>
      <c r="S178" s="65"/>
      <c r="T178" s="45"/>
      <c r="U178" s="630"/>
      <c r="V178" s="3"/>
      <c r="W178" s="637"/>
      <c r="X178" s="3"/>
      <c r="Y178" s="3"/>
      <c r="Z178" s="3"/>
      <c r="AA178" s="637"/>
      <c r="AB178" s="8"/>
      <c r="AC178" s="637"/>
      <c r="AD178" s="8"/>
      <c r="AE178" s="31"/>
      <c r="AF178" s="3"/>
      <c r="AG178" s="3"/>
      <c r="AH178" s="3"/>
      <c r="AI178" s="8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10"/>
      <c r="AU178" s="10"/>
      <c r="AV178" s="10"/>
      <c r="AW178" s="10"/>
      <c r="AX178" s="8"/>
      <c r="AY178" s="3"/>
      <c r="AZ178" s="3"/>
      <c r="BA178" s="8"/>
    </row>
    <row x14ac:dyDescent="0.25" r="179" customHeight="1" ht="14.4">
      <c r="A179" s="67"/>
      <c r="B179" s="3"/>
      <c r="C179" s="41"/>
      <c r="D179" s="67"/>
      <c r="E179" s="649"/>
      <c r="F179" s="41"/>
      <c r="G179" s="41"/>
      <c r="H179" s="41"/>
      <c r="I179" s="65"/>
      <c r="J179" s="41"/>
      <c r="K179" s="41"/>
      <c r="L179" s="41"/>
      <c r="M179" s="3"/>
      <c r="N179" s="41"/>
      <c r="O179" s="41"/>
      <c r="P179" s="41"/>
      <c r="Q179" s="42"/>
      <c r="R179" s="629"/>
      <c r="S179" s="65"/>
      <c r="T179" s="45"/>
      <c r="U179" s="630"/>
      <c r="V179" s="3"/>
      <c r="W179" s="637"/>
      <c r="X179" s="3"/>
      <c r="Y179" s="3"/>
      <c r="Z179" s="3"/>
      <c r="AA179" s="637"/>
      <c r="AB179" s="8"/>
      <c r="AC179" s="637"/>
      <c r="AD179" s="8"/>
      <c r="AE179" s="31"/>
      <c r="AF179" s="3"/>
      <c r="AG179" s="3"/>
      <c r="AH179" s="3"/>
      <c r="AI179" s="8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10"/>
      <c r="AU179" s="10"/>
      <c r="AV179" s="10"/>
      <c r="AW179" s="10"/>
      <c r="AX179" s="8"/>
      <c r="AY179" s="3"/>
      <c r="AZ179" s="3"/>
      <c r="BA179" s="8"/>
    </row>
    <row x14ac:dyDescent="0.25" r="180" customHeight="1" ht="14.4">
      <c r="A180" s="67"/>
      <c r="B180" s="3"/>
      <c r="C180" s="41"/>
      <c r="D180" s="67"/>
      <c r="E180" s="649"/>
      <c r="F180" s="41"/>
      <c r="G180" s="41"/>
      <c r="H180" s="41"/>
      <c r="I180" s="65"/>
      <c r="J180" s="41"/>
      <c r="K180" s="41"/>
      <c r="L180" s="41"/>
      <c r="M180" s="3"/>
      <c r="N180" s="41"/>
      <c r="O180" s="41"/>
      <c r="P180" s="41"/>
      <c r="Q180" s="42"/>
      <c r="R180" s="629"/>
      <c r="S180" s="65"/>
      <c r="T180" s="45"/>
      <c r="U180" s="653"/>
      <c r="V180" s="3"/>
      <c r="W180" s="637"/>
      <c r="X180" s="3"/>
      <c r="Y180" s="3"/>
      <c r="Z180" s="3"/>
      <c r="AA180" s="637"/>
      <c r="AB180" s="8"/>
      <c r="AC180" s="637"/>
      <c r="AD180" s="8"/>
      <c r="AE180" s="31"/>
      <c r="AF180" s="3"/>
      <c r="AG180" s="3"/>
      <c r="AH180" s="3"/>
      <c r="AI180" s="8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10"/>
      <c r="AU180" s="10"/>
      <c r="AV180" s="10"/>
      <c r="AW180" s="10"/>
      <c r="AX180" s="8"/>
      <c r="AY180" s="3"/>
      <c r="AZ180" s="3"/>
      <c r="BA180" s="8"/>
    </row>
    <row x14ac:dyDescent="0.25" r="181" customHeight="1" ht="14.4">
      <c r="A181" s="67"/>
      <c r="B181" s="3"/>
      <c r="C181" s="41"/>
      <c r="D181" s="67"/>
      <c r="E181" s="649"/>
      <c r="F181" s="41"/>
      <c r="G181" s="41"/>
      <c r="H181" s="41"/>
      <c r="I181" s="65"/>
      <c r="J181" s="41"/>
      <c r="K181" s="41"/>
      <c r="L181" s="41"/>
      <c r="M181" s="3"/>
      <c r="N181" s="41"/>
      <c r="O181" s="41"/>
      <c r="P181" s="41"/>
      <c r="Q181" s="42"/>
      <c r="R181" s="629"/>
      <c r="S181" s="65"/>
      <c r="T181" s="45"/>
      <c r="U181" s="653"/>
      <c r="V181" s="3"/>
      <c r="W181" s="637"/>
      <c r="X181" s="3"/>
      <c r="Y181" s="3"/>
      <c r="Z181" s="3"/>
      <c r="AA181" s="637"/>
      <c r="AB181" s="8"/>
      <c r="AC181" s="637"/>
      <c r="AD181" s="8"/>
      <c r="AE181" s="31"/>
      <c r="AF181" s="3"/>
      <c r="AG181" s="3"/>
      <c r="AH181" s="3"/>
      <c r="AI181" s="8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10"/>
      <c r="AU181" s="10"/>
      <c r="AV181" s="10"/>
      <c r="AW181" s="10"/>
      <c r="AX181" s="8"/>
      <c r="AY181" s="3"/>
      <c r="AZ181" s="3"/>
      <c r="BA181" s="8"/>
    </row>
    <row x14ac:dyDescent="0.25" r="182" customHeight="1" ht="14.4">
      <c r="A182" s="67"/>
      <c r="B182" s="3"/>
      <c r="C182" s="41"/>
      <c r="D182" s="67"/>
      <c r="E182" s="649"/>
      <c r="F182" s="41"/>
      <c r="G182" s="41"/>
      <c r="H182" s="41"/>
      <c r="I182" s="65"/>
      <c r="J182" s="41"/>
      <c r="K182" s="41"/>
      <c r="L182" s="41"/>
      <c r="M182" s="3"/>
      <c r="N182" s="41"/>
      <c r="O182" s="41"/>
      <c r="P182" s="41"/>
      <c r="Q182" s="637"/>
      <c r="R182" s="3"/>
      <c r="S182" s="65"/>
      <c r="T182" s="3"/>
      <c r="U182" s="3"/>
      <c r="V182" s="3"/>
      <c r="W182" s="637"/>
      <c r="X182" s="3"/>
      <c r="Y182" s="3"/>
      <c r="Z182" s="3"/>
      <c r="AA182" s="637"/>
      <c r="AB182" s="8"/>
      <c r="AC182" s="637"/>
      <c r="AD182" s="8"/>
      <c r="AE182" s="31"/>
      <c r="AF182" s="3"/>
      <c r="AG182" s="3"/>
      <c r="AH182" s="3"/>
      <c r="AI182" s="8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10"/>
      <c r="AU182" s="10"/>
      <c r="AV182" s="10"/>
      <c r="AW182" s="10"/>
      <c r="AX182" s="8"/>
      <c r="AY182" s="3"/>
      <c r="AZ182" s="3"/>
      <c r="BA182" s="8"/>
    </row>
    <row x14ac:dyDescent="0.25" r="183" customHeight="1" ht="14.4">
      <c r="A183" s="67"/>
      <c r="B183" s="3"/>
      <c r="C183" s="41"/>
      <c r="D183" s="67"/>
      <c r="E183" s="649"/>
      <c r="F183" s="41"/>
      <c r="G183" s="41"/>
      <c r="H183" s="41"/>
      <c r="I183" s="65"/>
      <c r="J183" s="41"/>
      <c r="K183" s="41"/>
      <c r="L183" s="41"/>
      <c r="M183" s="3"/>
      <c r="N183" s="41"/>
      <c r="O183" s="41"/>
      <c r="P183" s="41"/>
      <c r="Q183" s="637"/>
      <c r="R183" s="3"/>
      <c r="S183" s="65"/>
      <c r="T183" s="3"/>
      <c r="U183" s="3"/>
      <c r="V183" s="3"/>
      <c r="W183" s="637"/>
      <c r="X183" s="3"/>
      <c r="Y183" s="3"/>
      <c r="Z183" s="3"/>
      <c r="AA183" s="637"/>
      <c r="AB183" s="8"/>
      <c r="AC183" s="637"/>
      <c r="AD183" s="8"/>
      <c r="AE183" s="31"/>
      <c r="AF183" s="3"/>
      <c r="AG183" s="3"/>
      <c r="AH183" s="3"/>
      <c r="AI183" s="8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10"/>
      <c r="AU183" s="10"/>
      <c r="AV183" s="10"/>
      <c r="AW183" s="10"/>
      <c r="AX183" s="8"/>
      <c r="AY183" s="3"/>
      <c r="AZ183" s="3"/>
      <c r="BA183" s="8"/>
    </row>
    <row x14ac:dyDescent="0.25" r="184" customHeight="1" ht="14.4">
      <c r="A184" s="67"/>
      <c r="B184" s="3"/>
      <c r="C184" s="41"/>
      <c r="D184" s="67"/>
      <c r="E184" s="649"/>
      <c r="F184" s="41"/>
      <c r="G184" s="41"/>
      <c r="H184" s="41"/>
      <c r="I184" s="65"/>
      <c r="J184" s="41"/>
      <c r="K184" s="41"/>
      <c r="L184" s="41"/>
      <c r="M184" s="3"/>
      <c r="N184" s="41"/>
      <c r="O184" s="41"/>
      <c r="P184" s="41"/>
      <c r="Q184" s="637"/>
      <c r="R184" s="3"/>
      <c r="S184" s="65"/>
      <c r="T184" s="3"/>
      <c r="U184" s="3"/>
      <c r="V184" s="3"/>
      <c r="W184" s="637"/>
      <c r="X184" s="3"/>
      <c r="Y184" s="3"/>
      <c r="Z184" s="3"/>
      <c r="AA184" s="637"/>
      <c r="AB184" s="8"/>
      <c r="AC184" s="637"/>
      <c r="AD184" s="8"/>
      <c r="AE184" s="31"/>
      <c r="AF184" s="3"/>
      <c r="AG184" s="3"/>
      <c r="AH184" s="3"/>
      <c r="AI184" s="8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10"/>
      <c r="AU184" s="10"/>
      <c r="AV184" s="10"/>
      <c r="AW184" s="10"/>
      <c r="AX184" s="8"/>
      <c r="AY184" s="3"/>
      <c r="AZ184" s="3"/>
      <c r="BA184" s="8"/>
    </row>
    <row x14ac:dyDescent="0.25" r="185" customHeight="1" ht="14.4">
      <c r="A185" s="67"/>
      <c r="B185" s="3"/>
      <c r="C185" s="41"/>
      <c r="D185" s="67"/>
      <c r="E185" s="649"/>
      <c r="F185" s="41"/>
      <c r="G185" s="41"/>
      <c r="H185" s="41"/>
      <c r="I185" s="65"/>
      <c r="J185" s="41"/>
      <c r="K185" s="41"/>
      <c r="L185" s="41"/>
      <c r="M185" s="3"/>
      <c r="N185" s="41"/>
      <c r="O185" s="41"/>
      <c r="P185" s="41"/>
      <c r="Q185" s="637"/>
      <c r="R185" s="3"/>
      <c r="S185" s="65"/>
      <c r="T185" s="3"/>
      <c r="U185" s="3"/>
      <c r="V185" s="3"/>
      <c r="W185" s="637"/>
      <c r="X185" s="3"/>
      <c r="Y185" s="3"/>
      <c r="Z185" s="3"/>
      <c r="AA185" s="637"/>
      <c r="AB185" s="8"/>
      <c r="AC185" s="637"/>
      <c r="AD185" s="8"/>
      <c r="AE185" s="31"/>
      <c r="AF185" s="3"/>
      <c r="AG185" s="3"/>
      <c r="AH185" s="3"/>
      <c r="AI185" s="8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10"/>
      <c r="AU185" s="10"/>
      <c r="AV185" s="10"/>
      <c r="AW185" s="10"/>
      <c r="AX185" s="8"/>
      <c r="AY185" s="3"/>
      <c r="AZ185" s="3"/>
      <c r="BA185" s="8"/>
    </row>
    <row x14ac:dyDescent="0.25" r="186" customHeight="1" ht="14.4">
      <c r="A186" s="67"/>
      <c r="B186" s="3"/>
      <c r="C186" s="41"/>
      <c r="D186" s="67"/>
      <c r="E186" s="649"/>
      <c r="F186" s="41"/>
      <c r="G186" s="41"/>
      <c r="H186" s="41"/>
      <c r="I186" s="65"/>
      <c r="J186" s="41"/>
      <c r="K186" s="41"/>
      <c r="L186" s="41"/>
      <c r="M186" s="3"/>
      <c r="N186" s="41"/>
      <c r="O186" s="41"/>
      <c r="P186" s="41"/>
      <c r="Q186" s="637"/>
      <c r="R186" s="3"/>
      <c r="S186" s="65"/>
      <c r="T186" s="3"/>
      <c r="U186" s="3"/>
      <c r="V186" s="3"/>
      <c r="W186" s="637"/>
      <c r="X186" s="3"/>
      <c r="Y186" s="3"/>
      <c r="Z186" s="3"/>
      <c r="AA186" s="637"/>
      <c r="AB186" s="8"/>
      <c r="AC186" s="637"/>
      <c r="AD186" s="8"/>
      <c r="AE186" s="31"/>
      <c r="AF186" s="3"/>
      <c r="AG186" s="3"/>
      <c r="AH186" s="3"/>
      <c r="AI186" s="8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10"/>
      <c r="AU186" s="10"/>
      <c r="AV186" s="10"/>
      <c r="AW186" s="10"/>
      <c r="AX186" s="8"/>
      <c r="AY186" s="3"/>
      <c r="AZ186" s="3"/>
      <c r="BA186" s="8"/>
    </row>
    <row x14ac:dyDescent="0.25" r="187" customHeight="1" ht="14.4">
      <c r="A187" s="67"/>
      <c r="B187" s="3"/>
      <c r="C187" s="41"/>
      <c r="D187" s="67"/>
      <c r="E187" s="649"/>
      <c r="F187" s="41"/>
      <c r="G187" s="41"/>
      <c r="H187" s="41"/>
      <c r="I187" s="65"/>
      <c r="J187" s="41"/>
      <c r="K187" s="41"/>
      <c r="L187" s="41"/>
      <c r="M187" s="3"/>
      <c r="N187" s="41"/>
      <c r="O187" s="41"/>
      <c r="P187" s="41"/>
      <c r="Q187" s="637"/>
      <c r="R187" s="3"/>
      <c r="S187" s="65"/>
      <c r="T187" s="3"/>
      <c r="U187" s="3"/>
      <c r="V187" s="3"/>
      <c r="W187" s="637"/>
      <c r="X187" s="3"/>
      <c r="Y187" s="3"/>
      <c r="Z187" s="3"/>
      <c r="AA187" s="637"/>
      <c r="AB187" s="8"/>
      <c r="AC187" s="637"/>
      <c r="AD187" s="8"/>
      <c r="AE187" s="31"/>
      <c r="AF187" s="3"/>
      <c r="AG187" s="3"/>
      <c r="AH187" s="3"/>
      <c r="AI187" s="8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10"/>
      <c r="AU187" s="10"/>
      <c r="AV187" s="10"/>
      <c r="AW187" s="10"/>
      <c r="AX187" s="8"/>
      <c r="AY187" s="3"/>
      <c r="AZ187" s="3"/>
      <c r="BA187" s="8"/>
    </row>
    <row x14ac:dyDescent="0.25" r="188" customHeight="1" ht="14.4">
      <c r="A188" s="67"/>
      <c r="B188" s="3"/>
      <c r="C188" s="41"/>
      <c r="D188" s="67"/>
      <c r="E188" s="649"/>
      <c r="F188" s="41"/>
      <c r="G188" s="41"/>
      <c r="H188" s="41"/>
      <c r="I188" s="65"/>
      <c r="J188" s="41"/>
      <c r="K188" s="41"/>
      <c r="L188" s="41"/>
      <c r="M188" s="3"/>
      <c r="N188" s="41"/>
      <c r="O188" s="41"/>
      <c r="P188" s="41"/>
      <c r="Q188" s="637"/>
      <c r="R188" s="3"/>
      <c r="S188" s="65"/>
      <c r="T188" s="3"/>
      <c r="U188" s="3"/>
      <c r="V188" s="3"/>
      <c r="W188" s="637"/>
      <c r="X188" s="3"/>
      <c r="Y188" s="3"/>
      <c r="Z188" s="3"/>
      <c r="AA188" s="637"/>
      <c r="AB188" s="8"/>
      <c r="AC188" s="637"/>
      <c r="AD188" s="8"/>
      <c r="AE188" s="31"/>
      <c r="AF188" s="3"/>
      <c r="AG188" s="3"/>
      <c r="AH188" s="3"/>
      <c r="AI188" s="8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10"/>
      <c r="AU188" s="10"/>
      <c r="AV188" s="10"/>
      <c r="AW188" s="10"/>
      <c r="AX188" s="8"/>
      <c r="AY188" s="3"/>
      <c r="AZ188" s="3"/>
      <c r="BA188" s="8"/>
    </row>
    <row x14ac:dyDescent="0.25" r="189" customHeight="1" ht="14.4">
      <c r="A189" s="67"/>
      <c r="B189" s="3"/>
      <c r="C189" s="41"/>
      <c r="D189" s="67"/>
      <c r="E189" s="649"/>
      <c r="F189" s="41"/>
      <c r="G189" s="41"/>
      <c r="H189" s="41"/>
      <c r="I189" s="65"/>
      <c r="J189" s="41"/>
      <c r="K189" s="41"/>
      <c r="L189" s="41"/>
      <c r="M189" s="3"/>
      <c r="N189" s="41"/>
      <c r="O189" s="41"/>
      <c r="P189" s="41"/>
      <c r="Q189" s="637"/>
      <c r="R189" s="3"/>
      <c r="S189" s="65"/>
      <c r="T189" s="3"/>
      <c r="U189" s="3"/>
      <c r="V189" s="3"/>
      <c r="W189" s="637"/>
      <c r="X189" s="3"/>
      <c r="Y189" s="3"/>
      <c r="Z189" s="3"/>
      <c r="AA189" s="637"/>
      <c r="AB189" s="8"/>
      <c r="AC189" s="637"/>
      <c r="AD189" s="8"/>
      <c r="AE189" s="31"/>
      <c r="AF189" s="3"/>
      <c r="AG189" s="3"/>
      <c r="AH189" s="3"/>
      <c r="AI189" s="8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10"/>
      <c r="AU189" s="10"/>
      <c r="AV189" s="10"/>
      <c r="AW189" s="10"/>
      <c r="AX189" s="8"/>
      <c r="AY189" s="3"/>
      <c r="AZ189" s="3"/>
      <c r="BA189" s="8"/>
    </row>
    <row x14ac:dyDescent="0.25" r="190" customHeight="1" ht="14.4">
      <c r="A190" s="67"/>
      <c r="B190" s="3"/>
      <c r="C190" s="41"/>
      <c r="D190" s="67"/>
      <c r="E190" s="649"/>
      <c r="F190" s="41"/>
      <c r="G190" s="41"/>
      <c r="H190" s="41"/>
      <c r="I190" s="65"/>
      <c r="J190" s="41"/>
      <c r="K190" s="41"/>
      <c r="L190" s="41"/>
      <c r="M190" s="3"/>
      <c r="N190" s="3"/>
      <c r="O190" s="3"/>
      <c r="P190" s="3"/>
      <c r="Q190" s="637"/>
      <c r="R190" s="3"/>
      <c r="S190" s="65"/>
      <c r="T190" s="3"/>
      <c r="U190" s="3"/>
      <c r="V190" s="3"/>
      <c r="W190" s="637"/>
      <c r="X190" s="3"/>
      <c r="Y190" s="3"/>
      <c r="Z190" s="3"/>
      <c r="AA190" s="637"/>
      <c r="AB190" s="8"/>
      <c r="AC190" s="637"/>
      <c r="AD190" s="8"/>
      <c r="AE190" s="31"/>
      <c r="AF190" s="3"/>
      <c r="AG190" s="3"/>
      <c r="AH190" s="3"/>
      <c r="AI190" s="8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10"/>
      <c r="AU190" s="10"/>
      <c r="AV190" s="10"/>
      <c r="AW190" s="10"/>
      <c r="AX190" s="8"/>
      <c r="AY190" s="3"/>
      <c r="AZ190" s="3"/>
      <c r="BA190" s="8"/>
    </row>
    <row x14ac:dyDescent="0.25" r="191" customHeight="1" ht="14.4">
      <c r="A191" s="67"/>
      <c r="B191" s="3"/>
      <c r="C191" s="41"/>
      <c r="D191" s="67"/>
      <c r="E191" s="649"/>
      <c r="F191" s="41"/>
      <c r="G191" s="41"/>
      <c r="H191" s="41"/>
      <c r="I191" s="65"/>
      <c r="J191" s="41"/>
      <c r="K191" s="41"/>
      <c r="L191" s="41"/>
      <c r="M191" s="3"/>
      <c r="N191" s="3"/>
      <c r="O191" s="3"/>
      <c r="P191" s="3"/>
      <c r="Q191" s="637"/>
      <c r="R191" s="3"/>
      <c r="S191" s="65"/>
      <c r="T191" s="3"/>
      <c r="U191" s="3"/>
      <c r="V191" s="3"/>
      <c r="W191" s="637"/>
      <c r="X191" s="3"/>
      <c r="Y191" s="3"/>
      <c r="Z191" s="3"/>
      <c r="AA191" s="637"/>
      <c r="AB191" s="8"/>
      <c r="AC191" s="637"/>
      <c r="AD191" s="8"/>
      <c r="AE191" s="31"/>
      <c r="AF191" s="3"/>
      <c r="AG191" s="3"/>
      <c r="AH191" s="3"/>
      <c r="AI191" s="8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10"/>
      <c r="AU191" s="10"/>
      <c r="AV191" s="10"/>
      <c r="AW191" s="10"/>
      <c r="AX191" s="8"/>
      <c r="AY191" s="3"/>
      <c r="AZ191" s="3"/>
      <c r="BA191" s="8"/>
    </row>
    <row x14ac:dyDescent="0.25" r="192" customHeight="1" ht="14.4">
      <c r="A192" s="67"/>
      <c r="B192" s="3"/>
      <c r="C192" s="41"/>
      <c r="D192" s="67"/>
      <c r="E192" s="649"/>
      <c r="F192" s="41"/>
      <c r="G192" s="41"/>
      <c r="H192" s="41"/>
      <c r="I192" s="65"/>
      <c r="J192" s="41"/>
      <c r="K192" s="41"/>
      <c r="L192" s="41"/>
      <c r="M192" s="3"/>
      <c r="N192" s="3"/>
      <c r="O192" s="3"/>
      <c r="P192" s="3"/>
      <c r="Q192" s="637"/>
      <c r="R192" s="3"/>
      <c r="S192" s="65"/>
      <c r="T192" s="3"/>
      <c r="U192" s="3"/>
      <c r="V192" s="3"/>
      <c r="W192" s="637"/>
      <c r="X192" s="3"/>
      <c r="Y192" s="3"/>
      <c r="Z192" s="3"/>
      <c r="AA192" s="637"/>
      <c r="AB192" s="8"/>
      <c r="AC192" s="637"/>
      <c r="AD192" s="8"/>
      <c r="AE192" s="31"/>
      <c r="AF192" s="3"/>
      <c r="AG192" s="3"/>
      <c r="AH192" s="3"/>
      <c r="AI192" s="8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10"/>
      <c r="AU192" s="10"/>
      <c r="AV192" s="10"/>
      <c r="AW192" s="10"/>
      <c r="AX192" s="8"/>
      <c r="AY192" s="3"/>
      <c r="AZ192" s="3"/>
      <c r="BA192" s="8"/>
    </row>
    <row x14ac:dyDescent="0.25" r="193" customHeight="1" ht="14.4">
      <c r="A193" s="67"/>
      <c r="B193" s="3"/>
      <c r="C193" s="41"/>
      <c r="D193" s="67"/>
      <c r="E193" s="649"/>
      <c r="F193" s="41"/>
      <c r="G193" s="41"/>
      <c r="H193" s="41"/>
      <c r="I193" s="65"/>
      <c r="J193" s="41"/>
      <c r="K193" s="41"/>
      <c r="L193" s="41"/>
      <c r="M193" s="3"/>
      <c r="N193" s="3"/>
      <c r="O193" s="3"/>
      <c r="P193" s="3"/>
      <c r="Q193" s="637"/>
      <c r="R193" s="3"/>
      <c r="S193" s="65"/>
      <c r="T193" s="3"/>
      <c r="U193" s="3"/>
      <c r="V193" s="3"/>
      <c r="W193" s="637"/>
      <c r="X193" s="3"/>
      <c r="Y193" s="3"/>
      <c r="Z193" s="3"/>
      <c r="AA193" s="637"/>
      <c r="AB193" s="8"/>
      <c r="AC193" s="637"/>
      <c r="AD193" s="8"/>
      <c r="AE193" s="31"/>
      <c r="AF193" s="3"/>
      <c r="AG193" s="3"/>
      <c r="AH193" s="3"/>
      <c r="AI193" s="8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10"/>
      <c r="AU193" s="10"/>
      <c r="AV193" s="10"/>
      <c r="AW193" s="10"/>
      <c r="AX193" s="8"/>
      <c r="AY193" s="3"/>
      <c r="AZ193" s="3"/>
      <c r="BA193" s="8"/>
    </row>
    <row x14ac:dyDescent="0.25" r="194" customHeight="1" ht="14.4">
      <c r="A194" s="67"/>
      <c r="B194" s="3"/>
      <c r="C194" s="41"/>
      <c r="D194" s="67"/>
      <c r="E194" s="649"/>
      <c r="F194" s="41"/>
      <c r="G194" s="41"/>
      <c r="H194" s="41"/>
      <c r="I194" s="65"/>
      <c r="J194" s="41"/>
      <c r="K194" s="41"/>
      <c r="L194" s="41"/>
      <c r="M194" s="3"/>
      <c r="N194" s="3"/>
      <c r="O194" s="3"/>
      <c r="P194" s="3"/>
      <c r="Q194" s="637"/>
      <c r="R194" s="3"/>
      <c r="S194" s="65"/>
      <c r="T194" s="3"/>
      <c r="U194" s="3"/>
      <c r="V194" s="3"/>
      <c r="W194" s="637"/>
      <c r="X194" s="3"/>
      <c r="Y194" s="3"/>
      <c r="Z194" s="3"/>
      <c r="AA194" s="637"/>
      <c r="AB194" s="8"/>
      <c r="AC194" s="637"/>
      <c r="AD194" s="8"/>
      <c r="AE194" s="31"/>
      <c r="AF194" s="3"/>
      <c r="AG194" s="3"/>
      <c r="AH194" s="3"/>
      <c r="AI194" s="8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10"/>
      <c r="AU194" s="10"/>
      <c r="AV194" s="10"/>
      <c r="AW194" s="10"/>
      <c r="AX194" s="8"/>
      <c r="AY194" s="3"/>
      <c r="AZ194" s="3"/>
      <c r="BA194" s="8"/>
    </row>
    <row x14ac:dyDescent="0.25" r="195" customHeight="1" ht="14.4">
      <c r="A195" s="67"/>
      <c r="B195" s="3"/>
      <c r="C195" s="41"/>
      <c r="D195" s="67"/>
      <c r="E195" s="649"/>
      <c r="F195" s="41"/>
      <c r="G195" s="41"/>
      <c r="H195" s="41"/>
      <c r="I195" s="65"/>
      <c r="J195" s="41"/>
      <c r="K195" s="41"/>
      <c r="L195" s="41"/>
      <c r="M195" s="3"/>
      <c r="N195" s="3"/>
      <c r="O195" s="3"/>
      <c r="P195" s="3"/>
      <c r="Q195" s="637"/>
      <c r="R195" s="3"/>
      <c r="S195" s="65"/>
      <c r="T195" s="3"/>
      <c r="U195" s="3"/>
      <c r="V195" s="3"/>
      <c r="W195" s="637"/>
      <c r="X195" s="3"/>
      <c r="Y195" s="3"/>
      <c r="Z195" s="3"/>
      <c r="AA195" s="637"/>
      <c r="AB195" s="8"/>
      <c r="AC195" s="637"/>
      <c r="AD195" s="8"/>
      <c r="AE195" s="31"/>
      <c r="AF195" s="3"/>
      <c r="AG195" s="3"/>
      <c r="AH195" s="3"/>
      <c r="AI195" s="8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10"/>
      <c r="AU195" s="10"/>
      <c r="AV195" s="10"/>
      <c r="AW195" s="10"/>
      <c r="AX195" s="8"/>
      <c r="AY195" s="3"/>
      <c r="AZ195" s="3"/>
      <c r="BA195" s="8"/>
    </row>
    <row x14ac:dyDescent="0.25" r="196" customHeight="1" ht="14.4">
      <c r="A196" s="67"/>
      <c r="B196" s="3"/>
      <c r="C196" s="41"/>
      <c r="D196" s="67"/>
      <c r="E196" s="649"/>
      <c r="F196" s="41"/>
      <c r="G196" s="41"/>
      <c r="H196" s="41"/>
      <c r="I196" s="65"/>
      <c r="J196" s="41"/>
      <c r="K196" s="41"/>
      <c r="L196" s="41"/>
      <c r="M196" s="3"/>
      <c r="N196" s="3"/>
      <c r="O196" s="3"/>
      <c r="P196" s="3"/>
      <c r="Q196" s="637"/>
      <c r="R196" s="3"/>
      <c r="S196" s="65"/>
      <c r="T196" s="3"/>
      <c r="U196" s="3"/>
      <c r="V196" s="3"/>
      <c r="W196" s="637"/>
      <c r="X196" s="3"/>
      <c r="Y196" s="3"/>
      <c r="Z196" s="3"/>
      <c r="AA196" s="637"/>
      <c r="AB196" s="8"/>
      <c r="AC196" s="637"/>
      <c r="AD196" s="8"/>
      <c r="AE196" s="31"/>
      <c r="AF196" s="3"/>
      <c r="AG196" s="3"/>
      <c r="AH196" s="3"/>
      <c r="AI196" s="8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10"/>
      <c r="AU196" s="10"/>
      <c r="AV196" s="10"/>
      <c r="AW196" s="10"/>
      <c r="AX196" s="8"/>
      <c r="AY196" s="3"/>
      <c r="AZ196" s="3"/>
      <c r="BA196" s="8"/>
    </row>
    <row x14ac:dyDescent="0.25" r="197" customHeight="1" ht="14.4">
      <c r="A197" s="67"/>
      <c r="B197" s="3"/>
      <c r="C197" s="41"/>
      <c r="D197" s="67"/>
      <c r="E197" s="649"/>
      <c r="F197" s="41"/>
      <c r="G197" s="41"/>
      <c r="H197" s="41"/>
      <c r="I197" s="65"/>
      <c r="J197" s="41"/>
      <c r="K197" s="41"/>
      <c r="L197" s="41"/>
      <c r="M197" s="3"/>
      <c r="N197" s="3"/>
      <c r="O197" s="3"/>
      <c r="P197" s="3"/>
      <c r="Q197" s="637"/>
      <c r="R197" s="3"/>
      <c r="S197" s="65"/>
      <c r="T197" s="3"/>
      <c r="U197" s="3"/>
      <c r="V197" s="3"/>
      <c r="W197" s="637"/>
      <c r="X197" s="3"/>
      <c r="Y197" s="3"/>
      <c r="Z197" s="3"/>
      <c r="AA197" s="637"/>
      <c r="AB197" s="8"/>
      <c r="AC197" s="637"/>
      <c r="AD197" s="8"/>
      <c r="AE197" s="31"/>
      <c r="AF197" s="3"/>
      <c r="AG197" s="3"/>
      <c r="AH197" s="3"/>
      <c r="AI197" s="8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10"/>
      <c r="AU197" s="10"/>
      <c r="AV197" s="10"/>
      <c r="AW197" s="10"/>
      <c r="AX197" s="8"/>
      <c r="AY197" s="3"/>
      <c r="AZ197" s="3"/>
      <c r="BA197" s="8"/>
    </row>
    <row x14ac:dyDescent="0.25" r="198" customHeight="1" ht="14.4">
      <c r="A198" s="67"/>
      <c r="B198" s="3"/>
      <c r="C198" s="41"/>
      <c r="D198" s="67"/>
      <c r="E198" s="649"/>
      <c r="F198" s="41"/>
      <c r="G198" s="41"/>
      <c r="H198" s="41"/>
      <c r="I198" s="65"/>
      <c r="J198" s="41"/>
      <c r="K198" s="41"/>
      <c r="L198" s="41"/>
      <c r="M198" s="3"/>
      <c r="N198" s="3"/>
      <c r="O198" s="3"/>
      <c r="P198" s="3"/>
      <c r="Q198" s="637"/>
      <c r="R198" s="3"/>
      <c r="S198" s="65"/>
      <c r="T198" s="3"/>
      <c r="U198" s="3"/>
      <c r="V198" s="3"/>
      <c r="W198" s="637"/>
      <c r="X198" s="3"/>
      <c r="Y198" s="3"/>
      <c r="Z198" s="3"/>
      <c r="AA198" s="637"/>
      <c r="AB198" s="8"/>
      <c r="AC198" s="637"/>
      <c r="AD198" s="8"/>
      <c r="AE198" s="31"/>
      <c r="AF198" s="3"/>
      <c r="AG198" s="3"/>
      <c r="AH198" s="3"/>
      <c r="AI198" s="8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10"/>
      <c r="AU198" s="10"/>
      <c r="AV198" s="10"/>
      <c r="AW198" s="10"/>
      <c r="AX198" s="8"/>
      <c r="AY198" s="3"/>
      <c r="AZ198" s="3"/>
      <c r="BA198" s="8"/>
    </row>
    <row x14ac:dyDescent="0.25" r="199" customHeight="1" ht="14.4">
      <c r="A199" s="67"/>
      <c r="B199" s="3"/>
      <c r="C199" s="41"/>
      <c r="D199" s="67"/>
      <c r="E199" s="649"/>
      <c r="F199" s="41"/>
      <c r="G199" s="41"/>
      <c r="H199" s="41"/>
      <c r="I199" s="65"/>
      <c r="J199" s="41"/>
      <c r="K199" s="41"/>
      <c r="L199" s="41"/>
      <c r="M199" s="3"/>
      <c r="N199" s="3"/>
      <c r="O199" s="3"/>
      <c r="P199" s="3"/>
      <c r="Q199" s="637"/>
      <c r="R199" s="3"/>
      <c r="S199" s="65"/>
      <c r="T199" s="3"/>
      <c r="U199" s="3"/>
      <c r="V199" s="3"/>
      <c r="W199" s="637"/>
      <c r="X199" s="3"/>
      <c r="Y199" s="3"/>
      <c r="Z199" s="3"/>
      <c r="AA199" s="637"/>
      <c r="AB199" s="8"/>
      <c r="AC199" s="637"/>
      <c r="AD199" s="8"/>
      <c r="AE199" s="31"/>
      <c r="AF199" s="3"/>
      <c r="AG199" s="3"/>
      <c r="AH199" s="3"/>
      <c r="AI199" s="8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10"/>
      <c r="AU199" s="10"/>
      <c r="AV199" s="10"/>
      <c r="AW199" s="10"/>
      <c r="AX199" s="8"/>
      <c r="AY199" s="3"/>
      <c r="AZ199" s="3"/>
      <c r="BA199" s="8"/>
    </row>
    <row x14ac:dyDescent="0.25" r="200" customHeight="1" ht="14.4">
      <c r="A200" s="67"/>
      <c r="B200" s="3"/>
      <c r="C200" s="41"/>
      <c r="D200" s="67"/>
      <c r="E200" s="649"/>
      <c r="F200" s="41"/>
      <c r="G200" s="41"/>
      <c r="H200" s="41"/>
      <c r="I200" s="65"/>
      <c r="J200" s="41"/>
      <c r="K200" s="41"/>
      <c r="L200" s="41"/>
      <c r="M200" s="3"/>
      <c r="N200" s="3"/>
      <c r="O200" s="3"/>
      <c r="P200" s="3"/>
      <c r="Q200" s="637"/>
      <c r="R200" s="3"/>
      <c r="S200" s="65"/>
      <c r="T200" s="3"/>
      <c r="U200" s="3"/>
      <c r="V200" s="3"/>
      <c r="W200" s="637"/>
      <c r="X200" s="3"/>
      <c r="Y200" s="3"/>
      <c r="Z200" s="3"/>
      <c r="AA200" s="637"/>
      <c r="AB200" s="8"/>
      <c r="AC200" s="637"/>
      <c r="AD200" s="8"/>
      <c r="AE200" s="31"/>
      <c r="AF200" s="3"/>
      <c r="AG200" s="3"/>
      <c r="AH200" s="3"/>
      <c r="AI200" s="8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10"/>
      <c r="AU200" s="10"/>
      <c r="AV200" s="10"/>
      <c r="AW200" s="10"/>
      <c r="AX200" s="8"/>
      <c r="AY200" s="3"/>
      <c r="AZ200" s="3"/>
      <c r="BA200" s="8"/>
    </row>
    <row x14ac:dyDescent="0.25" r="201" customHeight="1" ht="14.4">
      <c r="A201" s="67"/>
      <c r="B201" s="3"/>
      <c r="C201" s="41"/>
      <c r="D201" s="67"/>
      <c r="E201" s="649"/>
      <c r="F201" s="41"/>
      <c r="G201" s="41"/>
      <c r="H201" s="41"/>
      <c r="I201" s="65"/>
      <c r="J201" s="41"/>
      <c r="K201" s="41"/>
      <c r="L201" s="41"/>
      <c r="M201" s="3"/>
      <c r="N201" s="3"/>
      <c r="O201" s="3"/>
      <c r="P201" s="3"/>
      <c r="Q201" s="637"/>
      <c r="R201" s="3"/>
      <c r="S201" s="65"/>
      <c r="T201" s="3"/>
      <c r="U201" s="3"/>
      <c r="V201" s="3"/>
      <c r="W201" s="637"/>
      <c r="X201" s="3"/>
      <c r="Y201" s="3"/>
      <c r="Z201" s="3"/>
      <c r="AA201" s="637"/>
      <c r="AB201" s="8"/>
      <c r="AC201" s="637"/>
      <c r="AD201" s="8"/>
      <c r="AE201" s="31"/>
      <c r="AF201" s="3"/>
      <c r="AG201" s="3"/>
      <c r="AH201" s="3"/>
      <c r="AI201" s="8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10"/>
      <c r="AU201" s="10"/>
      <c r="AV201" s="10"/>
      <c r="AW201" s="10"/>
      <c r="AX201" s="8"/>
      <c r="AY201" s="3"/>
      <c r="AZ201" s="3"/>
      <c r="BA201" s="8"/>
    </row>
    <row x14ac:dyDescent="0.25" r="202" customHeight="1" ht="14.4">
      <c r="A202" s="67"/>
      <c r="B202" s="3"/>
      <c r="C202" s="41"/>
      <c r="D202" s="67"/>
      <c r="E202" s="649"/>
      <c r="F202" s="41"/>
      <c r="G202" s="41"/>
      <c r="H202" s="41"/>
      <c r="I202" s="65"/>
      <c r="J202" s="41"/>
      <c r="K202" s="41"/>
      <c r="L202" s="41"/>
      <c r="M202" s="3"/>
      <c r="N202" s="3"/>
      <c r="O202" s="3"/>
      <c r="P202" s="3"/>
      <c r="Q202" s="637"/>
      <c r="R202" s="3"/>
      <c r="S202" s="65"/>
      <c r="T202" s="3"/>
      <c r="U202" s="3"/>
      <c r="V202" s="3"/>
      <c r="W202" s="637"/>
      <c r="X202" s="3"/>
      <c r="Y202" s="3"/>
      <c r="Z202" s="3"/>
      <c r="AA202" s="637"/>
      <c r="AB202" s="8"/>
      <c r="AC202" s="637"/>
      <c r="AD202" s="8"/>
      <c r="AE202" s="31"/>
      <c r="AF202" s="3"/>
      <c r="AG202" s="3"/>
      <c r="AH202" s="3"/>
      <c r="AI202" s="8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10"/>
      <c r="AU202" s="10"/>
      <c r="AV202" s="10"/>
      <c r="AW202" s="10"/>
      <c r="AX202" s="8"/>
      <c r="AY202" s="3"/>
      <c r="AZ202" s="3"/>
      <c r="BA202" s="8"/>
    </row>
    <row x14ac:dyDescent="0.25" r="203" customHeight="1" ht="14.4">
      <c r="A203" s="67"/>
      <c r="B203" s="3"/>
      <c r="C203" s="41"/>
      <c r="D203" s="67"/>
      <c r="E203" s="649"/>
      <c r="F203" s="41"/>
      <c r="G203" s="41"/>
      <c r="H203" s="41"/>
      <c r="I203" s="65"/>
      <c r="J203" s="41"/>
      <c r="K203" s="41"/>
      <c r="L203" s="41"/>
      <c r="M203" s="3"/>
      <c r="N203" s="3"/>
      <c r="O203" s="3"/>
      <c r="P203" s="3"/>
      <c r="Q203" s="637"/>
      <c r="R203" s="3"/>
      <c r="S203" s="65"/>
      <c r="T203" s="3"/>
      <c r="U203" s="3"/>
      <c r="V203" s="3"/>
      <c r="W203" s="637"/>
      <c r="X203" s="3"/>
      <c r="Y203" s="3"/>
      <c r="Z203" s="3"/>
      <c r="AA203" s="637"/>
      <c r="AB203" s="8"/>
      <c r="AC203" s="637"/>
      <c r="AD203" s="8"/>
      <c r="AE203" s="31"/>
      <c r="AF203" s="3"/>
      <c r="AG203" s="3"/>
      <c r="AH203" s="3"/>
      <c r="AI203" s="8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10"/>
      <c r="AU203" s="10"/>
      <c r="AV203" s="10"/>
      <c r="AW203" s="10"/>
      <c r="AX203" s="8"/>
      <c r="AY203" s="3"/>
      <c r="AZ203" s="3"/>
      <c r="BA203" s="8"/>
    </row>
    <row x14ac:dyDescent="0.25" r="204" customHeight="1" ht="14.4">
      <c r="A204" s="67"/>
      <c r="B204" s="3"/>
      <c r="C204" s="41"/>
      <c r="D204" s="67"/>
      <c r="E204" s="649"/>
      <c r="F204" s="41"/>
      <c r="G204" s="41"/>
      <c r="H204" s="41"/>
      <c r="I204" s="65"/>
      <c r="J204" s="41"/>
      <c r="K204" s="41"/>
      <c r="L204" s="41"/>
      <c r="M204" s="3"/>
      <c r="N204" s="3"/>
      <c r="O204" s="3"/>
      <c r="P204" s="3"/>
      <c r="Q204" s="637"/>
      <c r="R204" s="3"/>
      <c r="S204" s="65"/>
      <c r="T204" s="3"/>
      <c r="U204" s="3"/>
      <c r="V204" s="3"/>
      <c r="W204" s="637"/>
      <c r="X204" s="3"/>
      <c r="Y204" s="3"/>
      <c r="Z204" s="3"/>
      <c r="AA204" s="637"/>
      <c r="AB204" s="8"/>
      <c r="AC204" s="637"/>
      <c r="AD204" s="8"/>
      <c r="AE204" s="31"/>
      <c r="AF204" s="3"/>
      <c r="AG204" s="3"/>
      <c r="AH204" s="3"/>
      <c r="AI204" s="8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10"/>
      <c r="AU204" s="10"/>
      <c r="AV204" s="10"/>
      <c r="AW204" s="10"/>
      <c r="AX204" s="8"/>
      <c r="AY204" s="3"/>
      <c r="AZ204" s="3"/>
      <c r="BA204" s="8"/>
    </row>
    <row x14ac:dyDescent="0.25" r="205" customHeight="1" ht="14.4">
      <c r="A205" s="67"/>
      <c r="B205" s="3"/>
      <c r="C205" s="41"/>
      <c r="D205" s="67"/>
      <c r="E205" s="649"/>
      <c r="F205" s="41"/>
      <c r="G205" s="41"/>
      <c r="H205" s="41"/>
      <c r="I205" s="65"/>
      <c r="J205" s="41"/>
      <c r="K205" s="41"/>
      <c r="L205" s="41"/>
      <c r="M205" s="3"/>
      <c r="N205" s="3"/>
      <c r="O205" s="3"/>
      <c r="P205" s="3"/>
      <c r="Q205" s="637"/>
      <c r="R205" s="3"/>
      <c r="S205" s="65"/>
      <c r="T205" s="3"/>
      <c r="U205" s="3"/>
      <c r="V205" s="3"/>
      <c r="W205" s="637"/>
      <c r="X205" s="3"/>
      <c r="Y205" s="3"/>
      <c r="Z205" s="3"/>
      <c r="AA205" s="637"/>
      <c r="AB205" s="8"/>
      <c r="AC205" s="637"/>
      <c r="AD205" s="8"/>
      <c r="AE205" s="31"/>
      <c r="AF205" s="3"/>
      <c r="AG205" s="3"/>
      <c r="AH205" s="3"/>
      <c r="AI205" s="8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10"/>
      <c r="AU205" s="10"/>
      <c r="AV205" s="10"/>
      <c r="AW205" s="10"/>
      <c r="AX205" s="8"/>
      <c r="AY205" s="3"/>
      <c r="AZ205" s="3"/>
      <c r="BA205" s="8"/>
    </row>
    <row x14ac:dyDescent="0.25" r="206" customHeight="1" ht="14.4">
      <c r="A206" s="67"/>
      <c r="B206" s="3"/>
      <c r="C206" s="41"/>
      <c r="D206" s="67"/>
      <c r="E206" s="649"/>
      <c r="F206" s="41"/>
      <c r="G206" s="41"/>
      <c r="H206" s="41"/>
      <c r="I206" s="65"/>
      <c r="J206" s="41"/>
      <c r="K206" s="41"/>
      <c r="L206" s="41"/>
      <c r="M206" s="3"/>
      <c r="N206" s="3"/>
      <c r="O206" s="3"/>
      <c r="P206" s="3"/>
      <c r="Q206" s="637"/>
      <c r="R206" s="3"/>
      <c r="S206" s="65"/>
      <c r="T206" s="3"/>
      <c r="U206" s="3"/>
      <c r="V206" s="3"/>
      <c r="W206" s="637"/>
      <c r="X206" s="3"/>
      <c r="Y206" s="3"/>
      <c r="Z206" s="3"/>
      <c r="AA206" s="637"/>
      <c r="AB206" s="8"/>
      <c r="AC206" s="637"/>
      <c r="AD206" s="8"/>
      <c r="AE206" s="31"/>
      <c r="AF206" s="3"/>
      <c r="AG206" s="3"/>
      <c r="AH206" s="3"/>
      <c r="AI206" s="8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10"/>
      <c r="AU206" s="10"/>
      <c r="AV206" s="10"/>
      <c r="AW206" s="10"/>
      <c r="AX206" s="8"/>
      <c r="AY206" s="3"/>
      <c r="AZ206" s="3"/>
      <c r="BA206" s="8"/>
    </row>
    <row x14ac:dyDescent="0.25" r="207" customHeight="1" ht="14.4">
      <c r="A207" s="67"/>
      <c r="B207" s="3"/>
      <c r="C207" s="41"/>
      <c r="D207" s="67"/>
      <c r="E207" s="649"/>
      <c r="F207" s="41"/>
      <c r="G207" s="41"/>
      <c r="H207" s="41"/>
      <c r="I207" s="65"/>
      <c r="J207" s="41"/>
      <c r="K207" s="41"/>
      <c r="L207" s="41"/>
      <c r="M207" s="3"/>
      <c r="N207" s="3"/>
      <c r="O207" s="3"/>
      <c r="P207" s="3"/>
      <c r="Q207" s="637"/>
      <c r="R207" s="3"/>
      <c r="S207" s="65"/>
      <c r="T207" s="3"/>
      <c r="U207" s="3"/>
      <c r="V207" s="3"/>
      <c r="W207" s="637"/>
      <c r="X207" s="3"/>
      <c r="Y207" s="3"/>
      <c r="Z207" s="3"/>
      <c r="AA207" s="637"/>
      <c r="AB207" s="8"/>
      <c r="AC207" s="637"/>
      <c r="AD207" s="8"/>
      <c r="AE207" s="31"/>
      <c r="AF207" s="3"/>
      <c r="AG207" s="3"/>
      <c r="AH207" s="3"/>
      <c r="AI207" s="8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10"/>
      <c r="AU207" s="10"/>
      <c r="AV207" s="10"/>
      <c r="AW207" s="10"/>
      <c r="AX207" s="8"/>
      <c r="AY207" s="3"/>
      <c r="AZ207" s="3"/>
      <c r="BA207" s="8"/>
    </row>
    <row x14ac:dyDescent="0.25" r="208" customHeight="1" ht="14.4">
      <c r="A208" s="67"/>
      <c r="B208" s="3"/>
      <c r="C208" s="41"/>
      <c r="D208" s="67"/>
      <c r="E208" s="649"/>
      <c r="F208" s="41"/>
      <c r="G208" s="41"/>
      <c r="H208" s="41"/>
      <c r="I208" s="65"/>
      <c r="J208" s="41"/>
      <c r="K208" s="41"/>
      <c r="L208" s="41"/>
      <c r="M208" s="3"/>
      <c r="N208" s="3"/>
      <c r="O208" s="3"/>
      <c r="P208" s="3"/>
      <c r="Q208" s="637"/>
      <c r="R208" s="3"/>
      <c r="S208" s="65"/>
      <c r="T208" s="3"/>
      <c r="U208" s="3"/>
      <c r="V208" s="3"/>
      <c r="W208" s="637"/>
      <c r="X208" s="3"/>
      <c r="Y208" s="3"/>
      <c r="Z208" s="3"/>
      <c r="AA208" s="637"/>
      <c r="AB208" s="8"/>
      <c r="AC208" s="637"/>
      <c r="AD208" s="8"/>
      <c r="AE208" s="31"/>
      <c r="AF208" s="3"/>
      <c r="AG208" s="3"/>
      <c r="AH208" s="3"/>
      <c r="AI208" s="8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10"/>
      <c r="AU208" s="10"/>
      <c r="AV208" s="10"/>
      <c r="AW208" s="10"/>
      <c r="AX208" s="8"/>
      <c r="AY208" s="3"/>
      <c r="AZ208" s="3"/>
      <c r="BA208" s="8"/>
    </row>
    <row x14ac:dyDescent="0.25" r="209" customHeight="1" ht="14.4">
      <c r="A209" s="67"/>
      <c r="B209" s="3"/>
      <c r="C209" s="41"/>
      <c r="D209" s="67"/>
      <c r="E209" s="649"/>
      <c r="F209" s="41"/>
      <c r="G209" s="41"/>
      <c r="H209" s="41"/>
      <c r="I209" s="65"/>
      <c r="J209" s="41"/>
      <c r="K209" s="41"/>
      <c r="L209" s="41"/>
      <c r="M209" s="3"/>
      <c r="N209" s="3"/>
      <c r="O209" s="3"/>
      <c r="P209" s="3"/>
      <c r="Q209" s="637"/>
      <c r="R209" s="3"/>
      <c r="S209" s="65"/>
      <c r="T209" s="3"/>
      <c r="U209" s="3"/>
      <c r="V209" s="3"/>
      <c r="W209" s="637"/>
      <c r="X209" s="3"/>
      <c r="Y209" s="3"/>
      <c r="Z209" s="3"/>
      <c r="AA209" s="637"/>
      <c r="AB209" s="8"/>
      <c r="AC209" s="637"/>
      <c r="AD209" s="8"/>
      <c r="AE209" s="31"/>
      <c r="AF209" s="3"/>
      <c r="AG209" s="3"/>
      <c r="AH209" s="3"/>
      <c r="AI209" s="8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10"/>
      <c r="AU209" s="10"/>
      <c r="AV209" s="10"/>
      <c r="AW209" s="10"/>
      <c r="AX209" s="8"/>
      <c r="AY209" s="3"/>
      <c r="AZ209" s="3"/>
      <c r="BA209" s="8"/>
    </row>
    <row x14ac:dyDescent="0.25" r="210" customHeight="1" ht="19.5">
      <c r="A210" s="67"/>
      <c r="B210" s="3"/>
      <c r="C210" s="41"/>
      <c r="D210" s="67"/>
      <c r="E210" s="649"/>
      <c r="F210" s="41"/>
      <c r="G210" s="41"/>
      <c r="H210" s="41"/>
      <c r="I210" s="65"/>
      <c r="J210" s="41"/>
      <c r="K210" s="41"/>
      <c r="L210" s="41"/>
      <c r="M210" s="3"/>
      <c r="N210" s="3"/>
      <c r="O210" s="3"/>
      <c r="P210" s="3"/>
      <c r="Q210" s="637"/>
      <c r="R210" s="3"/>
      <c r="S210" s="65"/>
      <c r="T210" s="3"/>
      <c r="U210" s="3"/>
      <c r="V210" s="3"/>
      <c r="W210" s="637"/>
      <c r="X210" s="3"/>
      <c r="Y210" s="3"/>
      <c r="Z210" s="3"/>
      <c r="AA210" s="637"/>
      <c r="AB210" s="8"/>
      <c r="AC210" s="637"/>
      <c r="AD210" s="8"/>
      <c r="AE210" s="31"/>
      <c r="AF210" s="3"/>
      <c r="AG210" s="3"/>
      <c r="AH210" s="3"/>
      <c r="AI210" s="8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10"/>
      <c r="AU210" s="10"/>
      <c r="AV210" s="10"/>
      <c r="AW210" s="10"/>
      <c r="AX210" s="8"/>
      <c r="AY210" s="3"/>
      <c r="AZ210" s="3"/>
      <c r="BA210" s="8"/>
    </row>
    <row x14ac:dyDescent="0.25" r="211" customHeight="1" ht="19.5">
      <c r="A211" s="67"/>
      <c r="B211" s="3"/>
      <c r="C211" s="41"/>
      <c r="D211" s="67"/>
      <c r="E211" s="649"/>
      <c r="F211" s="41"/>
      <c r="G211" s="41"/>
      <c r="H211" s="41"/>
      <c r="I211" s="65"/>
      <c r="J211" s="41"/>
      <c r="K211" s="41"/>
      <c r="L211" s="41"/>
      <c r="M211" s="3"/>
      <c r="N211" s="3"/>
      <c r="O211" s="3"/>
      <c r="P211" s="3"/>
      <c r="Q211" s="637"/>
      <c r="R211" s="3"/>
      <c r="S211" s="65"/>
      <c r="T211" s="3"/>
      <c r="U211" s="3"/>
      <c r="V211" s="3"/>
      <c r="W211" s="637"/>
      <c r="X211" s="3"/>
      <c r="Y211" s="3"/>
      <c r="Z211" s="3"/>
      <c r="AA211" s="637"/>
      <c r="AB211" s="8"/>
      <c r="AC211" s="637"/>
      <c r="AD211" s="8"/>
      <c r="AE211" s="31"/>
      <c r="AF211" s="3"/>
      <c r="AG211" s="3"/>
      <c r="AH211" s="3"/>
      <c r="AI211" s="8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10"/>
      <c r="AU211" s="10"/>
      <c r="AV211" s="10"/>
      <c r="AW211" s="10"/>
      <c r="AX211" s="8"/>
      <c r="AY211" s="3"/>
      <c r="AZ211" s="3"/>
      <c r="BA211" s="8"/>
    </row>
    <row x14ac:dyDescent="0.25" r="212" customHeight="1" ht="19.5">
      <c r="A212" s="67"/>
      <c r="B212" s="3"/>
      <c r="C212" s="41"/>
      <c r="D212" s="67"/>
      <c r="E212" s="649"/>
      <c r="F212" s="41"/>
      <c r="G212" s="41"/>
      <c r="H212" s="41"/>
      <c r="I212" s="65"/>
      <c r="J212" s="41"/>
      <c r="K212" s="41"/>
      <c r="L212" s="41"/>
      <c r="M212" s="3"/>
      <c r="N212" s="3"/>
      <c r="O212" s="3"/>
      <c r="P212" s="3"/>
      <c r="Q212" s="637"/>
      <c r="R212" s="3"/>
      <c r="S212" s="65"/>
      <c r="T212" s="3"/>
      <c r="U212" s="3"/>
      <c r="V212" s="3"/>
      <c r="W212" s="637"/>
      <c r="X212" s="3"/>
      <c r="Y212" s="3"/>
      <c r="Z212" s="3"/>
      <c r="AA212" s="637"/>
      <c r="AB212" s="8"/>
      <c r="AC212" s="637"/>
      <c r="AD212" s="8"/>
      <c r="AE212" s="31"/>
      <c r="AF212" s="3"/>
      <c r="AG212" s="3"/>
      <c r="AH212" s="3"/>
      <c r="AI212" s="8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10"/>
      <c r="AU212" s="10"/>
      <c r="AV212" s="10"/>
      <c r="AW212" s="10"/>
      <c r="AX212" s="8"/>
      <c r="AY212" s="3"/>
      <c r="AZ212" s="3"/>
      <c r="BA212" s="8"/>
    </row>
    <row x14ac:dyDescent="0.25" r="213" customHeight="1" ht="19.5">
      <c r="A213" s="67"/>
      <c r="B213" s="3"/>
      <c r="C213" s="41"/>
      <c r="D213" s="67"/>
      <c r="E213" s="649"/>
      <c r="F213" s="41"/>
      <c r="G213" s="41"/>
      <c r="H213" s="41"/>
      <c r="I213" s="65"/>
      <c r="J213" s="41"/>
      <c r="K213" s="41"/>
      <c r="L213" s="41"/>
      <c r="M213" s="3"/>
      <c r="N213" s="3"/>
      <c r="O213" s="3"/>
      <c r="P213" s="3"/>
      <c r="Q213" s="637"/>
      <c r="R213" s="3"/>
      <c r="S213" s="65"/>
      <c r="T213" s="3"/>
      <c r="U213" s="3"/>
      <c r="V213" s="3"/>
      <c r="W213" s="637"/>
      <c r="X213" s="3"/>
      <c r="Y213" s="3"/>
      <c r="Z213" s="3"/>
      <c r="AA213" s="637"/>
      <c r="AB213" s="8"/>
      <c r="AC213" s="637"/>
      <c r="AD213" s="8"/>
      <c r="AE213" s="31"/>
      <c r="AF213" s="3"/>
      <c r="AG213" s="3"/>
      <c r="AH213" s="3"/>
      <c r="AI213" s="8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10"/>
      <c r="AU213" s="10"/>
      <c r="AV213" s="10"/>
      <c r="AW213" s="10"/>
      <c r="AX213" s="8"/>
      <c r="AY213" s="3"/>
      <c r="AZ213" s="3"/>
      <c r="BA213" s="8"/>
    </row>
    <row x14ac:dyDescent="0.25" r="214" customHeight="1" ht="19.5">
      <c r="A214" s="67"/>
      <c r="B214" s="3"/>
      <c r="C214" s="41"/>
      <c r="D214" s="67"/>
      <c r="E214" s="649"/>
      <c r="F214" s="41"/>
      <c r="G214" s="41"/>
      <c r="H214" s="41"/>
      <c r="I214" s="65"/>
      <c r="J214" s="41"/>
      <c r="K214" s="41"/>
      <c r="L214" s="41"/>
      <c r="M214" s="3"/>
      <c r="N214" s="3"/>
      <c r="O214" s="3"/>
      <c r="P214" s="3"/>
      <c r="Q214" s="637"/>
      <c r="R214" s="3"/>
      <c r="S214" s="65"/>
      <c r="T214" s="3"/>
      <c r="U214" s="3"/>
      <c r="V214" s="3"/>
      <c r="W214" s="637"/>
      <c r="X214" s="3"/>
      <c r="Y214" s="3"/>
      <c r="Z214" s="3"/>
      <c r="AA214" s="637"/>
      <c r="AB214" s="8"/>
      <c r="AC214" s="637"/>
      <c r="AD214" s="8"/>
      <c r="AE214" s="31"/>
      <c r="AF214" s="3"/>
      <c r="AG214" s="3"/>
      <c r="AH214" s="3"/>
      <c r="AI214" s="8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10"/>
      <c r="AU214" s="10"/>
      <c r="AV214" s="10"/>
      <c r="AW214" s="10"/>
      <c r="AX214" s="8"/>
      <c r="AY214" s="3"/>
      <c r="AZ214" s="3"/>
      <c r="BA214" s="8"/>
    </row>
    <row x14ac:dyDescent="0.25" r="215" customHeight="1" ht="19.5">
      <c r="A215" s="67"/>
      <c r="B215" s="3"/>
      <c r="C215" s="41"/>
      <c r="D215" s="67"/>
      <c r="E215" s="649"/>
      <c r="F215" s="41"/>
      <c r="G215" s="41"/>
      <c r="H215" s="41"/>
      <c r="I215" s="65"/>
      <c r="J215" s="41"/>
      <c r="K215" s="41"/>
      <c r="L215" s="41"/>
      <c r="M215" s="3"/>
      <c r="N215" s="3"/>
      <c r="O215" s="3"/>
      <c r="P215" s="3"/>
      <c r="Q215" s="637"/>
      <c r="R215" s="3"/>
      <c r="S215" s="65"/>
      <c r="T215" s="3"/>
      <c r="U215" s="3"/>
      <c r="V215" s="3"/>
      <c r="W215" s="637"/>
      <c r="X215" s="3"/>
      <c r="Y215" s="3"/>
      <c r="Z215" s="3"/>
      <c r="AA215" s="637"/>
      <c r="AB215" s="8"/>
      <c r="AC215" s="637"/>
      <c r="AD215" s="8"/>
      <c r="AE215" s="31"/>
      <c r="AF215" s="3"/>
      <c r="AG215" s="3"/>
      <c r="AH215" s="3"/>
      <c r="AI215" s="8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10"/>
      <c r="AU215" s="10"/>
      <c r="AV215" s="10"/>
      <c r="AW215" s="10"/>
      <c r="AX215" s="8"/>
      <c r="AY215" s="3"/>
      <c r="AZ215" s="3"/>
      <c r="BA215" s="8"/>
    </row>
    <row x14ac:dyDescent="0.25" r="216" customHeight="1" ht="19.5">
      <c r="A216" s="67"/>
      <c r="B216" s="3"/>
      <c r="C216" s="41"/>
      <c r="D216" s="67"/>
      <c r="E216" s="649"/>
      <c r="F216" s="41"/>
      <c r="G216" s="41"/>
      <c r="H216" s="41"/>
      <c r="I216" s="65"/>
      <c r="J216" s="41"/>
      <c r="K216" s="41"/>
      <c r="L216" s="41"/>
      <c r="M216" s="3"/>
      <c r="N216" s="3"/>
      <c r="O216" s="3"/>
      <c r="P216" s="3"/>
      <c r="Q216" s="637"/>
      <c r="R216" s="3"/>
      <c r="S216" s="65"/>
      <c r="T216" s="3"/>
      <c r="U216" s="3"/>
      <c r="V216" s="3"/>
      <c r="W216" s="637"/>
      <c r="X216" s="3"/>
      <c r="Y216" s="3"/>
      <c r="Z216" s="3"/>
      <c r="AA216" s="637"/>
      <c r="AB216" s="8"/>
      <c r="AC216" s="637"/>
      <c r="AD216" s="8"/>
      <c r="AE216" s="31"/>
      <c r="AF216" s="3"/>
      <c r="AG216" s="3"/>
      <c r="AH216" s="3"/>
      <c r="AI216" s="8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10"/>
      <c r="AU216" s="10"/>
      <c r="AV216" s="10"/>
      <c r="AW216" s="10"/>
      <c r="AX216" s="8"/>
      <c r="AY216" s="3"/>
      <c r="AZ216" s="3"/>
      <c r="BA216" s="8"/>
    </row>
    <row x14ac:dyDescent="0.25" r="217" customHeight="1" ht="19.5">
      <c r="A217" s="67"/>
      <c r="B217" s="3"/>
      <c r="C217" s="41"/>
      <c r="D217" s="67"/>
      <c r="E217" s="649"/>
      <c r="F217" s="41"/>
      <c r="G217" s="41"/>
      <c r="H217" s="41"/>
      <c r="I217" s="65"/>
      <c r="J217" s="41"/>
      <c r="K217" s="41"/>
      <c r="L217" s="41"/>
      <c r="M217" s="3"/>
      <c r="N217" s="3"/>
      <c r="O217" s="3"/>
      <c r="P217" s="3"/>
      <c r="Q217" s="637"/>
      <c r="R217" s="3"/>
      <c r="S217" s="65"/>
      <c r="T217" s="3"/>
      <c r="U217" s="3"/>
      <c r="V217" s="3"/>
      <c r="W217" s="637"/>
      <c r="X217" s="3"/>
      <c r="Y217" s="3"/>
      <c r="Z217" s="3"/>
      <c r="AA217" s="637"/>
      <c r="AB217" s="8"/>
      <c r="AC217" s="637"/>
      <c r="AD217" s="8"/>
      <c r="AE217" s="31"/>
      <c r="AF217" s="3"/>
      <c r="AG217" s="3"/>
      <c r="AH217" s="3"/>
      <c r="AI217" s="8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10"/>
      <c r="AU217" s="10"/>
      <c r="AV217" s="10"/>
      <c r="AW217" s="10"/>
      <c r="AX217" s="8"/>
      <c r="AY217" s="3"/>
      <c r="AZ217" s="3"/>
      <c r="BA217" s="8"/>
    </row>
    <row x14ac:dyDescent="0.25" r="218" customHeight="1" ht="19.5">
      <c r="A218" s="67"/>
      <c r="B218" s="3"/>
      <c r="C218" s="41"/>
      <c r="D218" s="67"/>
      <c r="E218" s="649"/>
      <c r="F218" s="41"/>
      <c r="G218" s="41"/>
      <c r="H218" s="41"/>
      <c r="I218" s="65"/>
      <c r="J218" s="41"/>
      <c r="K218" s="41"/>
      <c r="L218" s="41"/>
      <c r="M218" s="3"/>
      <c r="N218" s="3"/>
      <c r="O218" s="3"/>
      <c r="P218" s="3"/>
      <c r="Q218" s="637"/>
      <c r="R218" s="3"/>
      <c r="S218" s="65"/>
      <c r="T218" s="3"/>
      <c r="U218" s="3"/>
      <c r="V218" s="3"/>
      <c r="W218" s="637"/>
      <c r="X218" s="3"/>
      <c r="Y218" s="3"/>
      <c r="Z218" s="3"/>
      <c r="AA218" s="637"/>
      <c r="AB218" s="8"/>
      <c r="AC218" s="637"/>
      <c r="AD218" s="8"/>
      <c r="AE218" s="31"/>
      <c r="AF218" s="3"/>
      <c r="AG218" s="3"/>
      <c r="AH218" s="3"/>
      <c r="AI218" s="8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10"/>
      <c r="AU218" s="10"/>
      <c r="AV218" s="10"/>
      <c r="AW218" s="10"/>
      <c r="AX218" s="8"/>
      <c r="AY218" s="3"/>
      <c r="AZ218" s="3"/>
      <c r="BA218" s="8"/>
    </row>
    <row x14ac:dyDescent="0.25" r="219" customHeight="1" ht="19.5">
      <c r="A219" s="67"/>
      <c r="B219" s="3"/>
      <c r="C219" s="41"/>
      <c r="D219" s="67"/>
      <c r="E219" s="649"/>
      <c r="F219" s="41"/>
      <c r="G219" s="41"/>
      <c r="H219" s="41"/>
      <c r="I219" s="65"/>
      <c r="J219" s="41"/>
      <c r="K219" s="41"/>
      <c r="L219" s="41"/>
      <c r="M219" s="3"/>
      <c r="N219" s="3"/>
      <c r="O219" s="3"/>
      <c r="P219" s="3"/>
      <c r="Q219" s="637"/>
      <c r="R219" s="3"/>
      <c r="S219" s="65"/>
      <c r="T219" s="3"/>
      <c r="U219" s="3"/>
      <c r="V219" s="3"/>
      <c r="W219" s="637"/>
      <c r="X219" s="3"/>
      <c r="Y219" s="3"/>
      <c r="Z219" s="3"/>
      <c r="AA219" s="637"/>
      <c r="AB219" s="8"/>
      <c r="AC219" s="637"/>
      <c r="AD219" s="8"/>
      <c r="AE219" s="31"/>
      <c r="AF219" s="3"/>
      <c r="AG219" s="3"/>
      <c r="AH219" s="3"/>
      <c r="AI219" s="8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10"/>
      <c r="AU219" s="10"/>
      <c r="AV219" s="10"/>
      <c r="AW219" s="10"/>
      <c r="AX219" s="8"/>
      <c r="AY219" s="3"/>
      <c r="AZ219" s="3"/>
      <c r="BA219" s="8"/>
    </row>
    <row x14ac:dyDescent="0.25" r="220" customHeight="1" ht="19.5">
      <c r="A220" s="67"/>
      <c r="B220" s="3"/>
      <c r="C220" s="41"/>
      <c r="D220" s="67"/>
      <c r="E220" s="649"/>
      <c r="F220" s="41"/>
      <c r="G220" s="41"/>
      <c r="H220" s="41"/>
      <c r="I220" s="65"/>
      <c r="J220" s="41"/>
      <c r="K220" s="41"/>
      <c r="L220" s="41"/>
      <c r="M220" s="3"/>
      <c r="N220" s="3"/>
      <c r="O220" s="3"/>
      <c r="P220" s="3"/>
      <c r="Q220" s="637"/>
      <c r="R220" s="3"/>
      <c r="S220" s="65"/>
      <c r="T220" s="3"/>
      <c r="U220" s="3"/>
      <c r="V220" s="3"/>
      <c r="W220" s="637"/>
      <c r="X220" s="3"/>
      <c r="Y220" s="3"/>
      <c r="Z220" s="3"/>
      <c r="AA220" s="637"/>
      <c r="AB220" s="8"/>
      <c r="AC220" s="637"/>
      <c r="AD220" s="8"/>
      <c r="AE220" s="31"/>
      <c r="AF220" s="3"/>
      <c r="AG220" s="3"/>
      <c r="AH220" s="3"/>
      <c r="AI220" s="8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10"/>
      <c r="AU220" s="10"/>
      <c r="AV220" s="10"/>
      <c r="AW220" s="10"/>
      <c r="AX220" s="8"/>
      <c r="AY220" s="3"/>
      <c r="AZ220" s="3"/>
      <c r="BA220" s="8"/>
    </row>
    <row x14ac:dyDescent="0.25" r="221" customHeight="1" ht="19.5">
      <c r="A221" s="67"/>
      <c r="B221" s="3"/>
      <c r="C221" s="41"/>
      <c r="D221" s="67"/>
      <c r="E221" s="649"/>
      <c r="F221" s="41"/>
      <c r="G221" s="41"/>
      <c r="H221" s="41"/>
      <c r="I221" s="65"/>
      <c r="J221" s="41"/>
      <c r="K221" s="41"/>
      <c r="L221" s="41"/>
      <c r="M221" s="3"/>
      <c r="N221" s="3"/>
      <c r="O221" s="3"/>
      <c r="P221" s="3"/>
      <c r="Q221" s="637"/>
      <c r="R221" s="3"/>
      <c r="S221" s="65"/>
      <c r="T221" s="3"/>
      <c r="U221" s="3"/>
      <c r="V221" s="3"/>
      <c r="W221" s="637"/>
      <c r="X221" s="3"/>
      <c r="Y221" s="3"/>
      <c r="Z221" s="3"/>
      <c r="AA221" s="637"/>
      <c r="AB221" s="8"/>
      <c r="AC221" s="637"/>
      <c r="AD221" s="8"/>
      <c r="AE221" s="31"/>
      <c r="AF221" s="3"/>
      <c r="AG221" s="3"/>
      <c r="AH221" s="3"/>
      <c r="AI221" s="8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10"/>
      <c r="AU221" s="10"/>
      <c r="AV221" s="10"/>
      <c r="AW221" s="10"/>
      <c r="AX221" s="8"/>
      <c r="AY221" s="3"/>
      <c r="AZ221" s="3"/>
      <c r="BA221" s="8"/>
    </row>
    <row x14ac:dyDescent="0.25" r="222" customHeight="1" ht="19.5">
      <c r="A222" s="67"/>
      <c r="B222" s="3"/>
      <c r="C222" s="41"/>
      <c r="D222" s="67"/>
      <c r="E222" s="649"/>
      <c r="F222" s="41"/>
      <c r="G222" s="41"/>
      <c r="H222" s="41"/>
      <c r="I222" s="65"/>
      <c r="J222" s="41"/>
      <c r="K222" s="41"/>
      <c r="L222" s="41"/>
      <c r="M222" s="3"/>
      <c r="N222" s="3"/>
      <c r="O222" s="3"/>
      <c r="P222" s="3"/>
      <c r="Q222" s="637"/>
      <c r="R222" s="3"/>
      <c r="S222" s="65"/>
      <c r="T222" s="3"/>
      <c r="U222" s="3"/>
      <c r="V222" s="3"/>
      <c r="W222" s="637"/>
      <c r="X222" s="3"/>
      <c r="Y222" s="3"/>
      <c r="Z222" s="3"/>
      <c r="AA222" s="637"/>
      <c r="AB222" s="8"/>
      <c r="AC222" s="637"/>
      <c r="AD222" s="8"/>
      <c r="AE222" s="31"/>
      <c r="AF222" s="3"/>
      <c r="AG222" s="3"/>
      <c r="AH222" s="3"/>
      <c r="AI222" s="8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10"/>
      <c r="AU222" s="10"/>
      <c r="AV222" s="10"/>
      <c r="AW222" s="10"/>
      <c r="AX222" s="8"/>
      <c r="AY222" s="3"/>
      <c r="AZ222" s="3"/>
      <c r="BA222" s="8"/>
    </row>
    <row x14ac:dyDescent="0.25" r="223" customHeight="1" ht="19.5">
      <c r="A223" s="67"/>
      <c r="B223" s="3"/>
      <c r="C223" s="41"/>
      <c r="D223" s="67"/>
      <c r="E223" s="649"/>
      <c r="F223" s="41"/>
      <c r="G223" s="41"/>
      <c r="H223" s="41"/>
      <c r="I223" s="65"/>
      <c r="J223" s="41"/>
      <c r="K223" s="41"/>
      <c r="L223" s="41"/>
      <c r="M223" s="3"/>
      <c r="N223" s="3"/>
      <c r="O223" s="3"/>
      <c r="P223" s="3"/>
      <c r="Q223" s="637"/>
      <c r="R223" s="3"/>
      <c r="S223" s="65"/>
      <c r="T223" s="3"/>
      <c r="U223" s="3"/>
      <c r="V223" s="3"/>
      <c r="W223" s="637"/>
      <c r="X223" s="3"/>
      <c r="Y223" s="3"/>
      <c r="Z223" s="3"/>
      <c r="AA223" s="637"/>
      <c r="AB223" s="8"/>
      <c r="AC223" s="637"/>
      <c r="AD223" s="8"/>
      <c r="AE223" s="31"/>
      <c r="AF223" s="3"/>
      <c r="AG223" s="3"/>
      <c r="AH223" s="3"/>
      <c r="AI223" s="8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10"/>
      <c r="AU223" s="10"/>
      <c r="AV223" s="10"/>
      <c r="AW223" s="10"/>
      <c r="AX223" s="8"/>
      <c r="AY223" s="3"/>
      <c r="AZ223" s="3"/>
      <c r="BA223" s="8"/>
    </row>
    <row x14ac:dyDescent="0.25" r="224" customHeight="1" ht="19.5">
      <c r="A224" s="67"/>
      <c r="B224" s="3"/>
      <c r="C224" s="41"/>
      <c r="D224" s="67"/>
      <c r="E224" s="649"/>
      <c r="F224" s="41"/>
      <c r="G224" s="41"/>
      <c r="H224" s="41"/>
      <c r="I224" s="65"/>
      <c r="J224" s="41"/>
      <c r="K224" s="41"/>
      <c r="L224" s="41"/>
      <c r="M224" s="3"/>
      <c r="N224" s="3"/>
      <c r="O224" s="3"/>
      <c r="P224" s="3"/>
      <c r="Q224" s="637"/>
      <c r="R224" s="3"/>
      <c r="S224" s="65"/>
      <c r="T224" s="3"/>
      <c r="U224" s="3"/>
      <c r="V224" s="3"/>
      <c r="W224" s="637"/>
      <c r="X224" s="3"/>
      <c r="Y224" s="3"/>
      <c r="Z224" s="3"/>
      <c r="AA224" s="637"/>
      <c r="AB224" s="8"/>
      <c r="AC224" s="637"/>
      <c r="AD224" s="8"/>
      <c r="AE224" s="31"/>
      <c r="AF224" s="3"/>
      <c r="AG224" s="3"/>
      <c r="AH224" s="3"/>
      <c r="AI224" s="8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10"/>
      <c r="AU224" s="10"/>
      <c r="AV224" s="10"/>
      <c r="AW224" s="10"/>
      <c r="AX224" s="8"/>
      <c r="AY224" s="3"/>
      <c r="AZ224" s="3"/>
      <c r="BA224" s="8"/>
    </row>
    <row x14ac:dyDescent="0.25" r="225" customHeight="1" ht="19.5">
      <c r="A225" s="67"/>
      <c r="B225" s="3"/>
      <c r="C225" s="41"/>
      <c r="D225" s="67"/>
      <c r="E225" s="649"/>
      <c r="F225" s="41"/>
      <c r="G225" s="41"/>
      <c r="H225" s="41"/>
      <c r="I225" s="65"/>
      <c r="J225" s="41"/>
      <c r="K225" s="41"/>
      <c r="L225" s="41"/>
      <c r="M225" s="3"/>
      <c r="N225" s="3"/>
      <c r="O225" s="3"/>
      <c r="P225" s="3"/>
      <c r="Q225" s="637"/>
      <c r="R225" s="3"/>
      <c r="S225" s="65"/>
      <c r="T225" s="3"/>
      <c r="U225" s="3"/>
      <c r="V225" s="3"/>
      <c r="W225" s="637"/>
      <c r="X225" s="3"/>
      <c r="Y225" s="3"/>
      <c r="Z225" s="3"/>
      <c r="AA225" s="637"/>
      <c r="AB225" s="8"/>
      <c r="AC225" s="637"/>
      <c r="AD225" s="8"/>
      <c r="AE225" s="31"/>
      <c r="AF225" s="3"/>
      <c r="AG225" s="3"/>
      <c r="AH225" s="3"/>
      <c r="AI225" s="8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10"/>
      <c r="AU225" s="10"/>
      <c r="AV225" s="10"/>
      <c r="AW225" s="10"/>
      <c r="AX225" s="8"/>
      <c r="AY225" s="3"/>
      <c r="AZ225" s="3"/>
      <c r="BA225" s="8"/>
    </row>
    <row x14ac:dyDescent="0.25" r="226" customHeight="1" ht="19.5">
      <c r="A226" s="67"/>
      <c r="B226" s="3"/>
      <c r="C226" s="41"/>
      <c r="D226" s="67"/>
      <c r="E226" s="649"/>
      <c r="F226" s="41"/>
      <c r="G226" s="41"/>
      <c r="H226" s="41"/>
      <c r="I226" s="65"/>
      <c r="J226" s="41"/>
      <c r="K226" s="41"/>
      <c r="L226" s="41"/>
      <c r="M226" s="3"/>
      <c r="N226" s="3"/>
      <c r="O226" s="3"/>
      <c r="P226" s="3"/>
      <c r="Q226" s="637"/>
      <c r="R226" s="3"/>
      <c r="S226" s="65"/>
      <c r="T226" s="3"/>
      <c r="U226" s="3"/>
      <c r="V226" s="3"/>
      <c r="W226" s="637"/>
      <c r="X226" s="3"/>
      <c r="Y226" s="3"/>
      <c r="Z226" s="3"/>
      <c r="AA226" s="637"/>
      <c r="AB226" s="8"/>
      <c r="AC226" s="637"/>
      <c r="AD226" s="8"/>
      <c r="AE226" s="31"/>
      <c r="AF226" s="3"/>
      <c r="AG226" s="3"/>
      <c r="AH226" s="3"/>
      <c r="AI226" s="8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10"/>
      <c r="AU226" s="10"/>
      <c r="AV226" s="10"/>
      <c r="AW226" s="10"/>
      <c r="AX226" s="8"/>
      <c r="AY226" s="3"/>
      <c r="AZ226" s="3"/>
      <c r="BA226" s="8"/>
    </row>
    <row x14ac:dyDescent="0.25" r="227" customHeight="1" ht="19.5">
      <c r="A227" s="67"/>
      <c r="B227" s="3"/>
      <c r="C227" s="41"/>
      <c r="D227" s="67"/>
      <c r="E227" s="649"/>
      <c r="F227" s="41"/>
      <c r="G227" s="41"/>
      <c r="H227" s="41"/>
      <c r="I227" s="65"/>
      <c r="J227" s="41"/>
      <c r="K227" s="41"/>
      <c r="L227" s="41"/>
      <c r="M227" s="3"/>
      <c r="N227" s="3"/>
      <c r="O227" s="3"/>
      <c r="P227" s="3"/>
      <c r="Q227" s="637"/>
      <c r="R227" s="3"/>
      <c r="S227" s="65"/>
      <c r="T227" s="3"/>
      <c r="U227" s="3"/>
      <c r="V227" s="3"/>
      <c r="W227" s="637"/>
      <c r="X227" s="3"/>
      <c r="Y227" s="3"/>
      <c r="Z227" s="3"/>
      <c r="AA227" s="637"/>
      <c r="AB227" s="8"/>
      <c r="AC227" s="637"/>
      <c r="AD227" s="8"/>
      <c r="AE227" s="31"/>
      <c r="AF227" s="3"/>
      <c r="AG227" s="3"/>
      <c r="AH227" s="3"/>
      <c r="AI227" s="8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10"/>
      <c r="AU227" s="10"/>
      <c r="AV227" s="10"/>
      <c r="AW227" s="10"/>
      <c r="AX227" s="8"/>
      <c r="AY227" s="3"/>
      <c r="AZ227" s="3"/>
      <c r="BA227" s="8"/>
    </row>
    <row x14ac:dyDescent="0.25" r="228" customHeight="1" ht="19.5">
      <c r="A228" s="67"/>
      <c r="B228" s="3"/>
      <c r="C228" s="3"/>
      <c r="D228" s="440"/>
      <c r="E228" s="8"/>
      <c r="F228" s="3"/>
      <c r="G228" s="3"/>
      <c r="H228" s="3"/>
      <c r="I228" s="8"/>
      <c r="J228" s="3"/>
      <c r="K228" s="3"/>
      <c r="L228" s="3"/>
      <c r="M228" s="3"/>
      <c r="N228" s="3"/>
      <c r="O228" s="3"/>
      <c r="P228" s="3"/>
      <c r="Q228" s="637"/>
      <c r="R228" s="3"/>
      <c r="S228" s="65"/>
      <c r="T228" s="3"/>
      <c r="U228" s="3"/>
      <c r="V228" s="3"/>
      <c r="W228" s="637"/>
      <c r="X228" s="3"/>
      <c r="Y228" s="3"/>
      <c r="Z228" s="3"/>
      <c r="AA228" s="637"/>
      <c r="AB228" s="8"/>
      <c r="AC228" s="637"/>
      <c r="AD228" s="8"/>
      <c r="AE228" s="31"/>
      <c r="AF228" s="3"/>
      <c r="AG228" s="3"/>
      <c r="AH228" s="3"/>
      <c r="AI228" s="8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10"/>
      <c r="AU228" s="10"/>
      <c r="AV228" s="10"/>
      <c r="AW228" s="10"/>
      <c r="AX228" s="8"/>
      <c r="AY228" s="3"/>
      <c r="AZ228" s="3"/>
      <c r="BA228" s="8"/>
    </row>
    <row x14ac:dyDescent="0.25" r="229" customHeight="1" ht="19.5">
      <c r="A229" s="67"/>
      <c r="B229" s="3"/>
      <c r="C229" s="3"/>
      <c r="D229" s="440"/>
      <c r="E229" s="8"/>
      <c r="F229" s="3"/>
      <c r="G229" s="3"/>
      <c r="H229" s="3"/>
      <c r="I229" s="8"/>
      <c r="J229" s="3"/>
      <c r="K229" s="3"/>
      <c r="L229" s="3"/>
      <c r="M229" s="3"/>
      <c r="N229" s="3"/>
      <c r="O229" s="3"/>
      <c r="P229" s="3"/>
      <c r="Q229" s="637"/>
      <c r="R229" s="3"/>
      <c r="S229" s="65"/>
      <c r="T229" s="3"/>
      <c r="U229" s="3"/>
      <c r="V229" s="3"/>
      <c r="W229" s="637"/>
      <c r="X229" s="3"/>
      <c r="Y229" s="3"/>
      <c r="Z229" s="3"/>
      <c r="AA229" s="637"/>
      <c r="AB229" s="8"/>
      <c r="AC229" s="637"/>
      <c r="AD229" s="8"/>
      <c r="AE229" s="31"/>
      <c r="AF229" s="3"/>
      <c r="AG229" s="3"/>
      <c r="AH229" s="3"/>
      <c r="AI229" s="8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10"/>
      <c r="AU229" s="10"/>
      <c r="AV229" s="10"/>
      <c r="AW229" s="10"/>
      <c r="AX229" s="8"/>
      <c r="AY229" s="3"/>
      <c r="AZ229" s="3"/>
      <c r="BA229" s="8"/>
    </row>
    <row x14ac:dyDescent="0.25" r="230" customHeight="1" ht="14.4">
      <c r="A230" s="67"/>
      <c r="B230" s="3"/>
      <c r="C230" s="3"/>
      <c r="D230" s="440"/>
      <c r="E230" s="8"/>
      <c r="F230" s="3"/>
      <c r="G230" s="3"/>
      <c r="H230" s="3"/>
      <c r="I230" s="8"/>
      <c r="J230" s="3"/>
      <c r="K230" s="3"/>
      <c r="L230" s="3"/>
      <c r="M230" s="3"/>
      <c r="N230" s="3"/>
      <c r="O230" s="3"/>
      <c r="P230" s="3"/>
      <c r="Q230" s="637"/>
      <c r="R230" s="3"/>
      <c r="S230" s="65"/>
      <c r="T230" s="3"/>
      <c r="U230" s="3"/>
      <c r="V230" s="3"/>
      <c r="W230" s="637"/>
      <c r="X230" s="3"/>
      <c r="Y230" s="3"/>
      <c r="Z230" s="3"/>
      <c r="AA230" s="637"/>
      <c r="AB230" s="8"/>
      <c r="AC230" s="637"/>
      <c r="AD230" s="8"/>
      <c r="AE230" s="31"/>
      <c r="AF230" s="3"/>
      <c r="AG230" s="3"/>
      <c r="AH230" s="3"/>
      <c r="AI230" s="8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10"/>
      <c r="AU230" s="10"/>
      <c r="AV230" s="10"/>
      <c r="AW230" s="10"/>
      <c r="AX230" s="8"/>
      <c r="AY230" s="3"/>
      <c r="AZ230" s="3"/>
      <c r="BA230" s="8"/>
    </row>
    <row x14ac:dyDescent="0.25" r="231" customHeight="1" ht="14.4">
      <c r="A231" s="67"/>
      <c r="B231" s="3"/>
      <c r="C231" s="3"/>
      <c r="D231" s="440"/>
      <c r="E231" s="8"/>
      <c r="F231" s="3"/>
      <c r="G231" s="3"/>
      <c r="H231" s="3"/>
      <c r="I231" s="8"/>
      <c r="J231" s="3"/>
      <c r="K231" s="3"/>
      <c r="L231" s="3"/>
      <c r="M231" s="3"/>
      <c r="N231" s="3"/>
      <c r="O231" s="3"/>
      <c r="P231" s="3"/>
      <c r="Q231" s="637"/>
      <c r="R231" s="3"/>
      <c r="S231" s="65"/>
      <c r="T231" s="3"/>
      <c r="U231" s="3"/>
      <c r="V231" s="3"/>
      <c r="W231" s="637"/>
      <c r="X231" s="3"/>
      <c r="Y231" s="3"/>
      <c r="Z231" s="3"/>
      <c r="AA231" s="637"/>
      <c r="AB231" s="8"/>
      <c r="AC231" s="637"/>
      <c r="AD231" s="8"/>
      <c r="AE231" s="31"/>
      <c r="AF231" s="3"/>
      <c r="AG231" s="3"/>
      <c r="AH231" s="3"/>
      <c r="AI231" s="8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10"/>
      <c r="AU231" s="10"/>
      <c r="AV231" s="10"/>
      <c r="AW231" s="10"/>
      <c r="AX231" s="8"/>
      <c r="AY231" s="3"/>
      <c r="AZ231" s="3"/>
      <c r="BA231" s="8"/>
    </row>
    <row x14ac:dyDescent="0.25" r="232" customHeight="1" ht="14.4">
      <c r="A232" s="67"/>
      <c r="B232" s="3"/>
      <c r="C232" s="3"/>
      <c r="D232" s="440"/>
      <c r="E232" s="8"/>
      <c r="F232" s="3"/>
      <c r="G232" s="3"/>
      <c r="H232" s="3"/>
      <c r="I232" s="8"/>
      <c r="J232" s="3"/>
      <c r="K232" s="3"/>
      <c r="L232" s="3"/>
      <c r="M232" s="3"/>
      <c r="N232" s="3"/>
      <c r="O232" s="3"/>
      <c r="P232" s="3"/>
      <c r="Q232" s="637"/>
      <c r="R232" s="3"/>
      <c r="S232" s="65"/>
      <c r="T232" s="3"/>
      <c r="U232" s="3"/>
      <c r="V232" s="3"/>
      <c r="W232" s="637"/>
      <c r="X232" s="3"/>
      <c r="Y232" s="3"/>
      <c r="Z232" s="3"/>
      <c r="AA232" s="637"/>
      <c r="AB232" s="8"/>
      <c r="AC232" s="637"/>
      <c r="AD232" s="8"/>
      <c r="AE232" s="31"/>
      <c r="AF232" s="3"/>
      <c r="AG232" s="3"/>
      <c r="AH232" s="3"/>
      <c r="AI232" s="8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10"/>
      <c r="AU232" s="10"/>
      <c r="AV232" s="10"/>
      <c r="AW232" s="10"/>
      <c r="AX232" s="8"/>
      <c r="AY232" s="3"/>
      <c r="AZ232" s="3"/>
      <c r="BA232" s="8"/>
    </row>
    <row x14ac:dyDescent="0.25" r="233" customHeight="1" ht="14.4">
      <c r="A233" s="67"/>
      <c r="B233" s="3"/>
      <c r="C233" s="3"/>
      <c r="D233" s="440"/>
      <c r="E233" s="8"/>
      <c r="F233" s="3"/>
      <c r="G233" s="3"/>
      <c r="H233" s="3"/>
      <c r="I233" s="8"/>
      <c r="J233" s="3"/>
      <c r="K233" s="3"/>
      <c r="L233" s="3"/>
      <c r="M233" s="3"/>
      <c r="N233" s="3"/>
      <c r="O233" s="3"/>
      <c r="P233" s="3"/>
      <c r="Q233" s="637"/>
      <c r="R233" s="3"/>
      <c r="S233" s="65"/>
      <c r="T233" s="3"/>
      <c r="U233" s="3"/>
      <c r="V233" s="3"/>
      <c r="W233" s="637"/>
      <c r="X233" s="3"/>
      <c r="Y233" s="3"/>
      <c r="Z233" s="3"/>
      <c r="AA233" s="637"/>
      <c r="AB233" s="8"/>
      <c r="AC233" s="637"/>
      <c r="AD233" s="8"/>
      <c r="AE233" s="31"/>
      <c r="AF233" s="3"/>
      <c r="AG233" s="3"/>
      <c r="AH233" s="3"/>
      <c r="AI233" s="8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10"/>
      <c r="AU233" s="10"/>
      <c r="AV233" s="10"/>
      <c r="AW233" s="10"/>
      <c r="AX233" s="8"/>
      <c r="AY233" s="3"/>
      <c r="AZ233" s="3"/>
      <c r="BA233" s="8"/>
    </row>
    <row x14ac:dyDescent="0.25" r="234" customHeight="1" ht="14.4">
      <c r="A234" s="67"/>
      <c r="B234" s="3"/>
      <c r="C234" s="3"/>
      <c r="D234" s="440"/>
      <c r="E234" s="8"/>
      <c r="F234" s="3"/>
      <c r="G234" s="3"/>
      <c r="H234" s="3"/>
      <c r="I234" s="8"/>
      <c r="J234" s="3"/>
      <c r="K234" s="3"/>
      <c r="L234" s="3"/>
      <c r="M234" s="3"/>
      <c r="N234" s="3"/>
      <c r="O234" s="3"/>
      <c r="P234" s="3"/>
      <c r="Q234" s="637"/>
      <c r="R234" s="3"/>
      <c r="S234" s="65"/>
      <c r="T234" s="3"/>
      <c r="U234" s="3"/>
      <c r="V234" s="3"/>
      <c r="W234" s="637"/>
      <c r="X234" s="3"/>
      <c r="Y234" s="3"/>
      <c r="Z234" s="3"/>
      <c r="AA234" s="637"/>
      <c r="AB234" s="8"/>
      <c r="AC234" s="637"/>
      <c r="AD234" s="8"/>
      <c r="AE234" s="31"/>
      <c r="AF234" s="3"/>
      <c r="AG234" s="3"/>
      <c r="AH234" s="3"/>
      <c r="AI234" s="8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10"/>
      <c r="AU234" s="10"/>
      <c r="AV234" s="10"/>
      <c r="AW234" s="10"/>
      <c r="AX234" s="8"/>
      <c r="AY234" s="3"/>
      <c r="AZ234" s="3"/>
      <c r="BA234" s="8"/>
    </row>
    <row x14ac:dyDescent="0.25" r="235" customHeight="1" ht="14.4">
      <c r="A235" s="67"/>
      <c r="B235" s="3"/>
      <c r="C235" s="3"/>
      <c r="D235" s="440"/>
      <c r="E235" s="8"/>
      <c r="F235" s="3"/>
      <c r="G235" s="3"/>
      <c r="H235" s="3"/>
      <c r="I235" s="8"/>
      <c r="J235" s="3"/>
      <c r="K235" s="3"/>
      <c r="L235" s="3"/>
      <c r="M235" s="3"/>
      <c r="N235" s="3"/>
      <c r="O235" s="3"/>
      <c r="P235" s="3"/>
      <c r="Q235" s="637"/>
      <c r="R235" s="3"/>
      <c r="S235" s="65"/>
      <c r="T235" s="3"/>
      <c r="U235" s="3"/>
      <c r="V235" s="3"/>
      <c r="W235" s="637"/>
      <c r="X235" s="3"/>
      <c r="Y235" s="3"/>
      <c r="Z235" s="3"/>
      <c r="AA235" s="637"/>
      <c r="AB235" s="8"/>
      <c r="AC235" s="637"/>
      <c r="AD235" s="8"/>
      <c r="AE235" s="31"/>
      <c r="AF235" s="3"/>
      <c r="AG235" s="3"/>
      <c r="AH235" s="3"/>
      <c r="AI235" s="8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10"/>
      <c r="AU235" s="10"/>
      <c r="AV235" s="10"/>
      <c r="AW235" s="10"/>
      <c r="AX235" s="8"/>
      <c r="AY235" s="3"/>
      <c r="AZ235" s="3"/>
      <c r="BA235" s="8"/>
    </row>
    <row x14ac:dyDescent="0.25" r="236" customHeight="1" ht="14.4">
      <c r="A236" s="67"/>
      <c r="B236" s="3"/>
      <c r="C236" s="3"/>
      <c r="D236" s="440"/>
      <c r="E236" s="8"/>
      <c r="F236" s="3"/>
      <c r="G236" s="3"/>
      <c r="H236" s="3"/>
      <c r="I236" s="8"/>
      <c r="J236" s="3"/>
      <c r="K236" s="3"/>
      <c r="L236" s="3"/>
      <c r="M236" s="3"/>
      <c r="N236" s="3"/>
      <c r="O236" s="3"/>
      <c r="P236" s="3"/>
      <c r="Q236" s="637"/>
      <c r="R236" s="3"/>
      <c r="S236" s="65"/>
      <c r="T236" s="3"/>
      <c r="U236" s="3"/>
      <c r="V236" s="3"/>
      <c r="W236" s="637"/>
      <c r="X236" s="3"/>
      <c r="Y236" s="3"/>
      <c r="Z236" s="3"/>
      <c r="AA236" s="637"/>
      <c r="AB236" s="8"/>
      <c r="AC236" s="637"/>
      <c r="AD236" s="8"/>
      <c r="AE236" s="31"/>
      <c r="AF236" s="3"/>
      <c r="AG236" s="3"/>
      <c r="AH236" s="3"/>
      <c r="AI236" s="8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10"/>
      <c r="AU236" s="10"/>
      <c r="AV236" s="10"/>
      <c r="AW236" s="10"/>
      <c r="AX236" s="8"/>
      <c r="AY236" s="3"/>
      <c r="AZ236" s="3"/>
      <c r="BA236" s="8"/>
    </row>
    <row x14ac:dyDescent="0.25" r="237" customHeight="1" ht="14.4">
      <c r="A237" s="67"/>
      <c r="B237" s="3"/>
      <c r="C237" s="3"/>
      <c r="D237" s="440"/>
      <c r="E237" s="8"/>
      <c r="F237" s="3"/>
      <c r="G237" s="3"/>
      <c r="H237" s="3"/>
      <c r="I237" s="8"/>
      <c r="J237" s="3"/>
      <c r="K237" s="3"/>
      <c r="L237" s="3"/>
      <c r="M237" s="3"/>
      <c r="N237" s="3"/>
      <c r="O237" s="3"/>
      <c r="P237" s="3"/>
      <c r="Q237" s="637"/>
      <c r="R237" s="3"/>
      <c r="S237" s="65"/>
      <c r="T237" s="3"/>
      <c r="U237" s="3"/>
      <c r="V237" s="3"/>
      <c r="W237" s="637"/>
      <c r="X237" s="3"/>
      <c r="Y237" s="3"/>
      <c r="Z237" s="3"/>
      <c r="AA237" s="637"/>
      <c r="AB237" s="8"/>
      <c r="AC237" s="637"/>
      <c r="AD237" s="8"/>
      <c r="AE237" s="31"/>
      <c r="AF237" s="3"/>
      <c r="AG237" s="3"/>
      <c r="AH237" s="3"/>
      <c r="AI237" s="8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10"/>
      <c r="AU237" s="10"/>
      <c r="AV237" s="10"/>
      <c r="AW237" s="10"/>
      <c r="AX237" s="8"/>
      <c r="AY237" s="3"/>
      <c r="AZ237" s="3"/>
      <c r="BA237" s="8"/>
    </row>
    <row x14ac:dyDescent="0.25" r="238" customHeight="1" ht="14.4">
      <c r="A238" s="67"/>
      <c r="B238" s="3"/>
      <c r="C238" s="3"/>
      <c r="D238" s="440"/>
      <c r="E238" s="8"/>
      <c r="F238" s="3"/>
      <c r="G238" s="3"/>
      <c r="H238" s="3"/>
      <c r="I238" s="8"/>
      <c r="J238" s="3"/>
      <c r="K238" s="3"/>
      <c r="L238" s="3"/>
      <c r="M238" s="3"/>
      <c r="N238" s="3"/>
      <c r="O238" s="3"/>
      <c r="P238" s="3"/>
      <c r="Q238" s="637"/>
      <c r="R238" s="3"/>
      <c r="S238" s="65"/>
      <c r="T238" s="3"/>
      <c r="U238" s="3"/>
      <c r="V238" s="3"/>
      <c r="W238" s="637"/>
      <c r="X238" s="3"/>
      <c r="Y238" s="3"/>
      <c r="Z238" s="3"/>
      <c r="AA238" s="637"/>
      <c r="AB238" s="8"/>
      <c r="AC238" s="637"/>
      <c r="AD238" s="8"/>
      <c r="AE238" s="31"/>
      <c r="AF238" s="3"/>
      <c r="AG238" s="3"/>
      <c r="AH238" s="3"/>
      <c r="AI238" s="8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10"/>
      <c r="AU238" s="10"/>
      <c r="AV238" s="10"/>
      <c r="AW238" s="10"/>
      <c r="AX238" s="8"/>
      <c r="AY238" s="3"/>
      <c r="AZ238" s="3"/>
      <c r="BA238" s="8"/>
    </row>
    <row x14ac:dyDescent="0.25" r="239" customHeight="1" ht="14.4">
      <c r="A239" s="67"/>
      <c r="B239" s="3"/>
      <c r="C239" s="3"/>
      <c r="D239" s="440"/>
      <c r="E239" s="8"/>
      <c r="F239" s="3"/>
      <c r="G239" s="3"/>
      <c r="H239" s="3"/>
      <c r="I239" s="8"/>
      <c r="J239" s="3"/>
      <c r="K239" s="3"/>
      <c r="L239" s="3"/>
      <c r="M239" s="3"/>
      <c r="N239" s="3"/>
      <c r="O239" s="3"/>
      <c r="P239" s="3"/>
      <c r="Q239" s="637"/>
      <c r="R239" s="3"/>
      <c r="S239" s="65"/>
      <c r="T239" s="3"/>
      <c r="U239" s="3"/>
      <c r="V239" s="3"/>
      <c r="W239" s="637"/>
      <c r="X239" s="3"/>
      <c r="Y239" s="3"/>
      <c r="Z239" s="3"/>
      <c r="AA239" s="637"/>
      <c r="AB239" s="8"/>
      <c r="AC239" s="637"/>
      <c r="AD239" s="8"/>
      <c r="AE239" s="31"/>
      <c r="AF239" s="3"/>
      <c r="AG239" s="3"/>
      <c r="AH239" s="3"/>
      <c r="AI239" s="8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10"/>
      <c r="AU239" s="10"/>
      <c r="AV239" s="10"/>
      <c r="AW239" s="10"/>
      <c r="AX239" s="8"/>
      <c r="AY239" s="3"/>
      <c r="AZ239" s="3"/>
      <c r="BA239" s="8"/>
    </row>
    <row x14ac:dyDescent="0.25" r="240" customHeight="1" ht="14.4">
      <c r="A240" s="67"/>
      <c r="B240" s="3"/>
      <c r="C240" s="3"/>
      <c r="D240" s="440"/>
      <c r="E240" s="8"/>
      <c r="F240" s="3"/>
      <c r="G240" s="3"/>
      <c r="H240" s="3"/>
      <c r="I240" s="8"/>
      <c r="J240" s="3"/>
      <c r="K240" s="3"/>
      <c r="L240" s="3"/>
      <c r="M240" s="3"/>
      <c r="N240" s="3"/>
      <c r="O240" s="3"/>
      <c r="P240" s="3"/>
      <c r="Q240" s="637"/>
      <c r="R240" s="3"/>
      <c r="S240" s="65"/>
      <c r="T240" s="3"/>
      <c r="U240" s="3"/>
      <c r="V240" s="3"/>
      <c r="W240" s="637"/>
      <c r="X240" s="3"/>
      <c r="Y240" s="3"/>
      <c r="Z240" s="3"/>
      <c r="AA240" s="637"/>
      <c r="AB240" s="8"/>
      <c r="AC240" s="637"/>
      <c r="AD240" s="8"/>
      <c r="AE240" s="31"/>
      <c r="AF240" s="3"/>
      <c r="AG240" s="3"/>
      <c r="AH240" s="3"/>
      <c r="AI240" s="8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10"/>
      <c r="AU240" s="10"/>
      <c r="AV240" s="10"/>
      <c r="AW240" s="10"/>
      <c r="AX240" s="8"/>
      <c r="AY240" s="3"/>
      <c r="AZ240" s="3"/>
      <c r="BA240" s="8"/>
    </row>
    <row x14ac:dyDescent="0.25" r="241" customHeight="1" ht="14.4">
      <c r="A241" s="67"/>
      <c r="B241" s="3"/>
      <c r="C241" s="3"/>
      <c r="D241" s="440"/>
      <c r="E241" s="8"/>
      <c r="F241" s="3"/>
      <c r="G241" s="3"/>
      <c r="H241" s="3"/>
      <c r="I241" s="8"/>
      <c r="J241" s="3"/>
      <c r="K241" s="3"/>
      <c r="L241" s="3"/>
      <c r="M241" s="3"/>
      <c r="N241" s="3"/>
      <c r="O241" s="3"/>
      <c r="P241" s="3"/>
      <c r="Q241" s="637"/>
      <c r="R241" s="3"/>
      <c r="S241" s="65"/>
      <c r="T241" s="3"/>
      <c r="U241" s="3"/>
      <c r="V241" s="3"/>
      <c r="W241" s="637"/>
      <c r="X241" s="3"/>
      <c r="Y241" s="3"/>
      <c r="Z241" s="3"/>
      <c r="AA241" s="637"/>
      <c r="AB241" s="8"/>
      <c r="AC241" s="637"/>
      <c r="AD241" s="8"/>
      <c r="AE241" s="31"/>
      <c r="AF241" s="3"/>
      <c r="AG241" s="3"/>
      <c r="AH241" s="3"/>
      <c r="AI241" s="8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10"/>
      <c r="AU241" s="10"/>
      <c r="AV241" s="10"/>
      <c r="AW241" s="10"/>
      <c r="AX241" s="8"/>
      <c r="AY241" s="3"/>
      <c r="AZ241" s="3"/>
      <c r="BA241" s="8"/>
    </row>
    <row x14ac:dyDescent="0.25" r="242" customHeight="1" ht="14.4">
      <c r="A242" s="67"/>
      <c r="B242" s="3"/>
      <c r="C242" s="3"/>
      <c r="D242" s="440"/>
      <c r="E242" s="8"/>
      <c r="F242" s="3"/>
      <c r="G242" s="3"/>
      <c r="H242" s="3"/>
      <c r="I242" s="8"/>
      <c r="J242" s="3"/>
      <c r="K242" s="3"/>
      <c r="L242" s="3"/>
      <c r="M242" s="3"/>
      <c r="N242" s="3"/>
      <c r="O242" s="3"/>
      <c r="P242" s="3"/>
      <c r="Q242" s="637"/>
      <c r="R242" s="3"/>
      <c r="S242" s="65"/>
      <c r="T242" s="3"/>
      <c r="U242" s="3"/>
      <c r="V242" s="3"/>
      <c r="W242" s="637"/>
      <c r="X242" s="3"/>
      <c r="Y242" s="3"/>
      <c r="Z242" s="3"/>
      <c r="AA242" s="637"/>
      <c r="AB242" s="8"/>
      <c r="AC242" s="637"/>
      <c r="AD242" s="8"/>
      <c r="AE242" s="31"/>
      <c r="AF242" s="3"/>
      <c r="AG242" s="3"/>
      <c r="AH242" s="3"/>
      <c r="AI242" s="8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10"/>
      <c r="AU242" s="10"/>
      <c r="AV242" s="10"/>
      <c r="AW242" s="10"/>
      <c r="AX242" s="8"/>
      <c r="AY242" s="3"/>
      <c r="AZ242" s="3"/>
      <c r="BA242" s="8"/>
    </row>
    <row x14ac:dyDescent="0.25" r="243" customHeight="1" ht="14.4">
      <c r="A243" s="67"/>
      <c r="B243" s="3"/>
      <c r="C243" s="3"/>
      <c r="D243" s="440"/>
      <c r="E243" s="8"/>
      <c r="F243" s="3"/>
      <c r="G243" s="3"/>
      <c r="H243" s="3"/>
      <c r="I243" s="8"/>
      <c r="J243" s="3"/>
      <c r="K243" s="3"/>
      <c r="L243" s="3"/>
      <c r="M243" s="3"/>
      <c r="N243" s="3"/>
      <c r="O243" s="3"/>
      <c r="P243" s="3"/>
      <c r="Q243" s="637"/>
      <c r="R243" s="3"/>
      <c r="S243" s="65"/>
      <c r="T243" s="3"/>
      <c r="U243" s="3"/>
      <c r="V243" s="3"/>
      <c r="W243" s="637"/>
      <c r="X243" s="3"/>
      <c r="Y243" s="3"/>
      <c r="Z243" s="3"/>
      <c r="AA243" s="637"/>
      <c r="AB243" s="8"/>
      <c r="AC243" s="637"/>
      <c r="AD243" s="8"/>
      <c r="AE243" s="31"/>
      <c r="AF243" s="3"/>
      <c r="AG243" s="3"/>
      <c r="AH243" s="3"/>
      <c r="AI243" s="8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10"/>
      <c r="AU243" s="10"/>
      <c r="AV243" s="10"/>
      <c r="AW243" s="10"/>
      <c r="AX243" s="8"/>
      <c r="AY243" s="3"/>
      <c r="AZ243" s="3"/>
      <c r="BA243" s="8"/>
    </row>
    <row x14ac:dyDescent="0.25" r="244" customHeight="1" ht="14.4">
      <c r="A244" s="67"/>
      <c r="B244" s="3"/>
      <c r="C244" s="3"/>
      <c r="D244" s="440"/>
      <c r="E244" s="8"/>
      <c r="F244" s="3"/>
      <c r="G244" s="3"/>
      <c r="H244" s="3"/>
      <c r="I244" s="8"/>
      <c r="J244" s="3"/>
      <c r="K244" s="3"/>
      <c r="L244" s="3"/>
      <c r="M244" s="3"/>
      <c r="N244" s="3"/>
      <c r="O244" s="3"/>
      <c r="P244" s="3"/>
      <c r="Q244" s="637"/>
      <c r="R244" s="3"/>
      <c r="S244" s="65"/>
      <c r="T244" s="3"/>
      <c r="U244" s="3"/>
      <c r="V244" s="3"/>
      <c r="W244" s="637"/>
      <c r="X244" s="3"/>
      <c r="Y244" s="3"/>
      <c r="Z244" s="3"/>
      <c r="AA244" s="637"/>
      <c r="AB244" s="8"/>
      <c r="AC244" s="637"/>
      <c r="AD244" s="8"/>
      <c r="AE244" s="31"/>
      <c r="AF244" s="3"/>
      <c r="AG244" s="3"/>
      <c r="AH244" s="3"/>
      <c r="AI244" s="8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10"/>
      <c r="AU244" s="10"/>
      <c r="AV244" s="10"/>
      <c r="AW244" s="10"/>
      <c r="AX244" s="8"/>
      <c r="AY244" s="3"/>
      <c r="AZ244" s="3"/>
      <c r="BA244" s="8"/>
    </row>
    <row x14ac:dyDescent="0.25" r="245" customHeight="1" ht="14.4">
      <c r="A245" s="67"/>
      <c r="B245" s="3"/>
      <c r="C245" s="3"/>
      <c r="D245" s="440"/>
      <c r="E245" s="8"/>
      <c r="F245" s="3"/>
      <c r="G245" s="3"/>
      <c r="H245" s="3"/>
      <c r="I245" s="8"/>
      <c r="J245" s="3"/>
      <c r="K245" s="3"/>
      <c r="L245" s="3"/>
      <c r="M245" s="3"/>
      <c r="N245" s="3"/>
      <c r="O245" s="3"/>
      <c r="P245" s="3"/>
      <c r="Q245" s="637"/>
      <c r="R245" s="3"/>
      <c r="S245" s="65"/>
      <c r="T245" s="3"/>
      <c r="U245" s="3"/>
      <c r="V245" s="3"/>
      <c r="W245" s="637"/>
      <c r="X245" s="3"/>
      <c r="Y245" s="3"/>
      <c r="Z245" s="3"/>
      <c r="AA245" s="637"/>
      <c r="AB245" s="8"/>
      <c r="AC245" s="637"/>
      <c r="AD245" s="8"/>
      <c r="AE245" s="31"/>
      <c r="AF245" s="3"/>
      <c r="AG245" s="3"/>
      <c r="AH245" s="3"/>
      <c r="AI245" s="8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10"/>
      <c r="AU245" s="10"/>
      <c r="AV245" s="10"/>
      <c r="AW245" s="10"/>
      <c r="AX245" s="8"/>
      <c r="AY245" s="3"/>
      <c r="AZ245" s="3"/>
      <c r="BA245" s="8"/>
    </row>
    <row x14ac:dyDescent="0.25" r="246" customHeight="1" ht="14.4">
      <c r="A246" s="67"/>
      <c r="B246" s="3"/>
      <c r="C246" s="3"/>
      <c r="D246" s="440"/>
      <c r="E246" s="8"/>
      <c r="F246" s="3"/>
      <c r="G246" s="3"/>
      <c r="H246" s="3"/>
      <c r="I246" s="8"/>
      <c r="J246" s="3"/>
      <c r="K246" s="3"/>
      <c r="L246" s="3"/>
      <c r="M246" s="3"/>
      <c r="N246" s="3"/>
      <c r="O246" s="3"/>
      <c r="P246" s="3"/>
      <c r="Q246" s="637"/>
      <c r="R246" s="3"/>
      <c r="S246" s="65"/>
      <c r="T246" s="3"/>
      <c r="U246" s="3"/>
      <c r="V246" s="3"/>
      <c r="W246" s="637"/>
      <c r="X246" s="3"/>
      <c r="Y246" s="3"/>
      <c r="Z246" s="3"/>
      <c r="AA246" s="637"/>
      <c r="AB246" s="8"/>
      <c r="AC246" s="637"/>
      <c r="AD246" s="8"/>
      <c r="AE246" s="31"/>
      <c r="AF246" s="3"/>
      <c r="AG246" s="3"/>
      <c r="AH246" s="3"/>
      <c r="AI246" s="8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10"/>
      <c r="AU246" s="10"/>
      <c r="AV246" s="10"/>
      <c r="AW246" s="10"/>
      <c r="AX246" s="8"/>
      <c r="AY246" s="3"/>
      <c r="AZ246" s="3"/>
      <c r="BA246" s="8"/>
    </row>
    <row x14ac:dyDescent="0.25" r="247" customHeight="1" ht="14.4">
      <c r="A247" s="67"/>
      <c r="B247" s="3"/>
      <c r="C247" s="3"/>
      <c r="D247" s="440"/>
      <c r="E247" s="8"/>
      <c r="F247" s="3"/>
      <c r="G247" s="3"/>
      <c r="H247" s="3"/>
      <c r="I247" s="8"/>
      <c r="J247" s="3"/>
      <c r="K247" s="3"/>
      <c r="L247" s="3"/>
      <c r="M247" s="3"/>
      <c r="N247" s="3"/>
      <c r="O247" s="3"/>
      <c r="P247" s="3"/>
      <c r="Q247" s="637"/>
      <c r="R247" s="3"/>
      <c r="S247" s="65"/>
      <c r="T247" s="3"/>
      <c r="U247" s="3"/>
      <c r="V247" s="3"/>
      <c r="W247" s="637"/>
      <c r="X247" s="3"/>
      <c r="Y247" s="3"/>
      <c r="Z247" s="3"/>
      <c r="AA247" s="637"/>
      <c r="AB247" s="8"/>
      <c r="AC247" s="637"/>
      <c r="AD247" s="8"/>
      <c r="AE247" s="31"/>
      <c r="AF247" s="3"/>
      <c r="AG247" s="3"/>
      <c r="AH247" s="3"/>
      <c r="AI247" s="8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10"/>
      <c r="AU247" s="10"/>
      <c r="AV247" s="10"/>
      <c r="AW247" s="10"/>
      <c r="AX247" s="8"/>
      <c r="AY247" s="3"/>
      <c r="AZ247" s="3"/>
      <c r="BA247" s="8"/>
    </row>
    <row x14ac:dyDescent="0.25" r="248" customHeight="1" ht="14.4">
      <c r="A248" s="67"/>
      <c r="B248" s="3"/>
      <c r="C248" s="3"/>
      <c r="D248" s="440"/>
      <c r="E248" s="8"/>
      <c r="F248" s="3"/>
      <c r="G248" s="3"/>
      <c r="H248" s="3"/>
      <c r="I248" s="8"/>
      <c r="J248" s="3"/>
      <c r="K248" s="3"/>
      <c r="L248" s="3"/>
      <c r="M248" s="3"/>
      <c r="N248" s="3"/>
      <c r="O248" s="3"/>
      <c r="P248" s="3"/>
      <c r="Q248" s="637"/>
      <c r="R248" s="3"/>
      <c r="S248" s="65"/>
      <c r="T248" s="3"/>
      <c r="U248" s="3"/>
      <c r="V248" s="3"/>
      <c r="W248" s="637"/>
      <c r="X248" s="3"/>
      <c r="Y248" s="3"/>
      <c r="Z248" s="3"/>
      <c r="AA248" s="637"/>
      <c r="AB248" s="8"/>
      <c r="AC248" s="637"/>
      <c r="AD248" s="8"/>
      <c r="AE248" s="31"/>
      <c r="AF248" s="3"/>
      <c r="AG248" s="3"/>
      <c r="AH248" s="3"/>
      <c r="AI248" s="8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10"/>
      <c r="AU248" s="10"/>
      <c r="AV248" s="10"/>
      <c r="AW248" s="10"/>
      <c r="AX248" s="8"/>
      <c r="AY248" s="3"/>
      <c r="AZ248" s="3"/>
      <c r="BA248" s="8"/>
    </row>
    <row x14ac:dyDescent="0.25" r="249" customHeight="1" ht="14.4">
      <c r="A249" s="67"/>
      <c r="B249" s="3"/>
      <c r="C249" s="3"/>
      <c r="D249" s="440"/>
      <c r="E249" s="8"/>
      <c r="F249" s="3"/>
      <c r="G249" s="3"/>
      <c r="H249" s="3"/>
      <c r="I249" s="8"/>
      <c r="J249" s="3"/>
      <c r="K249" s="3"/>
      <c r="L249" s="3"/>
      <c r="M249" s="3"/>
      <c r="N249" s="3"/>
      <c r="O249" s="3"/>
      <c r="P249" s="3"/>
      <c r="Q249" s="637"/>
      <c r="R249" s="3"/>
      <c r="S249" s="65"/>
      <c r="T249" s="3"/>
      <c r="U249" s="3"/>
      <c r="V249" s="3"/>
      <c r="W249" s="637"/>
      <c r="X249" s="3"/>
      <c r="Y249" s="3"/>
      <c r="Z249" s="3"/>
      <c r="AA249" s="637"/>
      <c r="AB249" s="8"/>
      <c r="AC249" s="637"/>
      <c r="AD249" s="8"/>
      <c r="AE249" s="31"/>
      <c r="AF249" s="3"/>
      <c r="AG249" s="3"/>
      <c r="AH249" s="3"/>
      <c r="AI249" s="8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10"/>
      <c r="AU249" s="10"/>
      <c r="AV249" s="10"/>
      <c r="AW249" s="10"/>
      <c r="AX249" s="8"/>
      <c r="AY249" s="3"/>
      <c r="AZ249" s="3"/>
      <c r="BA249" s="8"/>
    </row>
    <row x14ac:dyDescent="0.25" r="250" customHeight="1" ht="14.4">
      <c r="A250" s="67"/>
      <c r="B250" s="3"/>
      <c r="C250" s="3"/>
      <c r="D250" s="440"/>
      <c r="E250" s="8"/>
      <c r="F250" s="3"/>
      <c r="G250" s="3"/>
      <c r="H250" s="3"/>
      <c r="I250" s="8"/>
      <c r="J250" s="3"/>
      <c r="K250" s="3"/>
      <c r="L250" s="3"/>
      <c r="M250" s="3"/>
      <c r="N250" s="3"/>
      <c r="O250" s="3"/>
      <c r="P250" s="3"/>
      <c r="Q250" s="637"/>
      <c r="R250" s="3"/>
      <c r="S250" s="65"/>
      <c r="T250" s="3"/>
      <c r="U250" s="3"/>
      <c r="V250" s="3"/>
      <c r="W250" s="637"/>
      <c r="X250" s="3"/>
      <c r="Y250" s="3"/>
      <c r="Z250" s="3"/>
      <c r="AA250" s="637"/>
      <c r="AB250" s="8"/>
      <c r="AC250" s="637"/>
      <c r="AD250" s="8"/>
      <c r="AE250" s="31"/>
      <c r="AF250" s="3"/>
      <c r="AG250" s="3"/>
      <c r="AH250" s="3"/>
      <c r="AI250" s="8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10"/>
      <c r="AU250" s="10"/>
      <c r="AV250" s="10"/>
      <c r="AW250" s="10"/>
      <c r="AX250" s="8"/>
      <c r="AY250" s="3"/>
      <c r="AZ250" s="3"/>
      <c r="BA250" s="8"/>
    </row>
    <row x14ac:dyDescent="0.25" r="251" customHeight="1" ht="14.4">
      <c r="A251" s="67"/>
      <c r="B251" s="3"/>
      <c r="C251" s="3"/>
      <c r="D251" s="440"/>
      <c r="E251" s="8"/>
      <c r="F251" s="3"/>
      <c r="G251" s="3"/>
      <c r="H251" s="3"/>
      <c r="I251" s="8"/>
      <c r="J251" s="3"/>
      <c r="K251" s="3"/>
      <c r="L251" s="3"/>
      <c r="M251" s="3"/>
      <c r="N251" s="3"/>
      <c r="O251" s="3"/>
      <c r="P251" s="3"/>
      <c r="Q251" s="637"/>
      <c r="R251" s="3"/>
      <c r="S251" s="65"/>
      <c r="T251" s="3"/>
      <c r="U251" s="3"/>
      <c r="V251" s="3"/>
      <c r="W251" s="637"/>
      <c r="X251" s="3"/>
      <c r="Y251" s="3"/>
      <c r="Z251" s="3"/>
      <c r="AA251" s="637"/>
      <c r="AB251" s="8"/>
      <c r="AC251" s="637"/>
      <c r="AD251" s="8"/>
      <c r="AE251" s="31"/>
      <c r="AF251" s="3"/>
      <c r="AG251" s="3"/>
      <c r="AH251" s="3"/>
      <c r="AI251" s="8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10"/>
      <c r="AU251" s="10"/>
      <c r="AV251" s="10"/>
      <c r="AW251" s="10"/>
      <c r="AX251" s="8"/>
      <c r="AY251" s="3"/>
      <c r="AZ251" s="3"/>
      <c r="BA251" s="8"/>
    </row>
    <row x14ac:dyDescent="0.25" r="252" customHeight="1" ht="14.4">
      <c r="A252" s="67"/>
      <c r="B252" s="3"/>
      <c r="C252" s="3"/>
      <c r="D252" s="440"/>
      <c r="E252" s="8"/>
      <c r="F252" s="3"/>
      <c r="G252" s="3"/>
      <c r="H252" s="3"/>
      <c r="I252" s="8"/>
      <c r="J252" s="3"/>
      <c r="K252" s="3"/>
      <c r="L252" s="3"/>
      <c r="M252" s="3"/>
      <c r="N252" s="3"/>
      <c r="O252" s="3"/>
      <c r="P252" s="3"/>
      <c r="Q252" s="637"/>
      <c r="R252" s="3"/>
      <c r="S252" s="65"/>
      <c r="T252" s="3"/>
      <c r="U252" s="3"/>
      <c r="V252" s="3"/>
      <c r="W252" s="637"/>
      <c r="X252" s="3"/>
      <c r="Y252" s="3"/>
      <c r="Z252" s="3"/>
      <c r="AA252" s="637"/>
      <c r="AB252" s="8"/>
      <c r="AC252" s="637"/>
      <c r="AD252" s="8"/>
      <c r="AE252" s="31"/>
      <c r="AF252" s="3"/>
      <c r="AG252" s="3"/>
      <c r="AH252" s="3"/>
      <c r="AI252" s="8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10"/>
      <c r="AU252" s="10"/>
      <c r="AV252" s="10"/>
      <c r="AW252" s="10"/>
      <c r="AX252" s="8"/>
      <c r="AY252" s="3"/>
      <c r="AZ252" s="3"/>
      <c r="BA252" s="8"/>
    </row>
    <row x14ac:dyDescent="0.25" r="253" customHeight="1" ht="14.4">
      <c r="A253" s="67"/>
      <c r="B253" s="3"/>
      <c r="C253" s="3"/>
      <c r="D253" s="440"/>
      <c r="E253" s="8"/>
      <c r="F253" s="3"/>
      <c r="G253" s="3"/>
      <c r="H253" s="3"/>
      <c r="I253" s="8"/>
      <c r="J253" s="3"/>
      <c r="K253" s="3"/>
      <c r="L253" s="3"/>
      <c r="M253" s="3"/>
      <c r="N253" s="3"/>
      <c r="O253" s="3"/>
      <c r="P253" s="3"/>
      <c r="Q253" s="637"/>
      <c r="R253" s="3"/>
      <c r="S253" s="65"/>
      <c r="T253" s="3"/>
      <c r="U253" s="3"/>
      <c r="V253" s="3"/>
      <c r="W253" s="637"/>
      <c r="X253" s="3"/>
      <c r="Y253" s="3"/>
      <c r="Z253" s="3"/>
      <c r="AA253" s="637"/>
      <c r="AB253" s="8"/>
      <c r="AC253" s="637"/>
      <c r="AD253" s="8"/>
      <c r="AE253" s="31"/>
      <c r="AF253" s="3"/>
      <c r="AG253" s="3"/>
      <c r="AH253" s="3"/>
      <c r="AI253" s="8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10"/>
      <c r="AU253" s="10"/>
      <c r="AV253" s="10"/>
      <c r="AW253" s="10"/>
      <c r="AX253" s="8"/>
      <c r="AY253" s="3"/>
      <c r="AZ253" s="3"/>
      <c r="BA253" s="8"/>
    </row>
    <row x14ac:dyDescent="0.25" r="254" customHeight="1" ht="14.4">
      <c r="A254" s="67"/>
      <c r="B254" s="3"/>
      <c r="C254" s="3"/>
      <c r="D254" s="440"/>
      <c r="E254" s="8"/>
      <c r="F254" s="3"/>
      <c r="G254" s="3"/>
      <c r="H254" s="3"/>
      <c r="I254" s="8"/>
      <c r="J254" s="3"/>
      <c r="K254" s="3"/>
      <c r="L254" s="3"/>
      <c r="M254" s="3"/>
      <c r="N254" s="3"/>
      <c r="O254" s="3"/>
      <c r="P254" s="3"/>
      <c r="Q254" s="637"/>
      <c r="R254" s="3"/>
      <c r="S254" s="65"/>
      <c r="T254" s="3"/>
      <c r="U254" s="3"/>
      <c r="V254" s="3"/>
      <c r="W254" s="637"/>
      <c r="X254" s="3"/>
      <c r="Y254" s="3"/>
      <c r="Z254" s="3"/>
      <c r="AA254" s="637"/>
      <c r="AB254" s="8"/>
      <c r="AC254" s="637"/>
      <c r="AD254" s="8"/>
      <c r="AE254" s="31"/>
      <c r="AF254" s="3"/>
      <c r="AG254" s="3"/>
      <c r="AH254" s="3"/>
      <c r="AI254" s="8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10"/>
      <c r="AU254" s="10"/>
      <c r="AV254" s="10"/>
      <c r="AW254" s="10"/>
      <c r="AX254" s="8"/>
      <c r="AY254" s="3"/>
      <c r="AZ254" s="3"/>
      <c r="BA254" s="8"/>
    </row>
    <row x14ac:dyDescent="0.25" r="255" customHeight="1" ht="14.4">
      <c r="A255" s="67"/>
      <c r="B255" s="3"/>
      <c r="C255" s="3"/>
      <c r="D255" s="440"/>
      <c r="E255" s="8"/>
      <c r="F255" s="3"/>
      <c r="G255" s="3"/>
      <c r="H255" s="3"/>
      <c r="I255" s="8"/>
      <c r="J255" s="3"/>
      <c r="K255" s="3"/>
      <c r="L255" s="3"/>
      <c r="M255" s="3"/>
      <c r="N255" s="3"/>
      <c r="O255" s="3"/>
      <c r="P255" s="3"/>
      <c r="Q255" s="637"/>
      <c r="R255" s="3"/>
      <c r="S255" s="65"/>
      <c r="T255" s="3"/>
      <c r="U255" s="3"/>
      <c r="V255" s="3"/>
      <c r="W255" s="637"/>
      <c r="X255" s="3"/>
      <c r="Y255" s="3"/>
      <c r="Z255" s="3"/>
      <c r="AA255" s="637"/>
      <c r="AB255" s="8"/>
      <c r="AC255" s="637"/>
      <c r="AD255" s="8"/>
      <c r="AE255" s="31"/>
      <c r="AF255" s="3"/>
      <c r="AG255" s="3"/>
      <c r="AH255" s="3"/>
      <c r="AI255" s="8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10"/>
      <c r="AU255" s="10"/>
      <c r="AV255" s="10"/>
      <c r="AW255" s="10"/>
      <c r="AX255" s="8"/>
      <c r="AY255" s="3"/>
      <c r="AZ255" s="3"/>
      <c r="BA255" s="8"/>
    </row>
    <row x14ac:dyDescent="0.25" r="256" customHeight="1" ht="14.4">
      <c r="A256" s="67"/>
      <c r="B256" s="3"/>
      <c r="C256" s="3"/>
      <c r="D256" s="440"/>
      <c r="E256" s="8"/>
      <c r="F256" s="3"/>
      <c r="G256" s="3"/>
      <c r="H256" s="3"/>
      <c r="I256" s="8"/>
      <c r="J256" s="3"/>
      <c r="K256" s="3"/>
      <c r="L256" s="3"/>
      <c r="M256" s="3"/>
      <c r="N256" s="3"/>
      <c r="O256" s="3"/>
      <c r="P256" s="3"/>
      <c r="Q256" s="637"/>
      <c r="R256" s="3"/>
      <c r="S256" s="65"/>
      <c r="T256" s="3"/>
      <c r="U256" s="3"/>
      <c r="V256" s="3"/>
      <c r="W256" s="637"/>
      <c r="X256" s="3"/>
      <c r="Y256" s="3"/>
      <c r="Z256" s="3"/>
      <c r="AA256" s="637"/>
      <c r="AB256" s="8"/>
      <c r="AC256" s="637"/>
      <c r="AD256" s="8"/>
      <c r="AE256" s="31"/>
      <c r="AF256" s="3"/>
      <c r="AG256" s="3"/>
      <c r="AH256" s="3"/>
      <c r="AI256" s="8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10"/>
      <c r="AU256" s="10"/>
      <c r="AV256" s="10"/>
      <c r="AW256" s="10"/>
      <c r="AX256" s="8"/>
      <c r="AY256" s="3"/>
      <c r="AZ256" s="3"/>
      <c r="BA256" s="8"/>
    </row>
    <row x14ac:dyDescent="0.25" r="257" customHeight="1" ht="14.4">
      <c r="A257" s="67"/>
      <c r="B257" s="3"/>
      <c r="C257" s="3"/>
      <c r="D257" s="440"/>
      <c r="E257" s="8"/>
      <c r="F257" s="3"/>
      <c r="G257" s="3"/>
      <c r="H257" s="3"/>
      <c r="I257" s="8"/>
      <c r="J257" s="3"/>
      <c r="K257" s="3"/>
      <c r="L257" s="3"/>
      <c r="M257" s="3"/>
      <c r="N257" s="3"/>
      <c r="O257" s="3"/>
      <c r="P257" s="3"/>
      <c r="Q257" s="637"/>
      <c r="R257" s="3"/>
      <c r="S257" s="65"/>
      <c r="T257" s="3"/>
      <c r="U257" s="3"/>
      <c r="V257" s="3"/>
      <c r="W257" s="637"/>
      <c r="X257" s="3"/>
      <c r="Y257" s="3"/>
      <c r="Z257" s="3"/>
      <c r="AA257" s="637"/>
      <c r="AB257" s="8"/>
      <c r="AC257" s="637"/>
      <c r="AD257" s="8"/>
      <c r="AE257" s="31"/>
      <c r="AF257" s="3"/>
      <c r="AG257" s="3"/>
      <c r="AH257" s="3"/>
      <c r="AI257" s="8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10"/>
      <c r="AU257" s="10"/>
      <c r="AV257" s="10"/>
      <c r="AW257" s="10"/>
      <c r="AX257" s="8"/>
      <c r="AY257" s="3"/>
      <c r="AZ257" s="3"/>
      <c r="BA257" s="8"/>
    </row>
    <row x14ac:dyDescent="0.25" r="258" customHeight="1" ht="14.4">
      <c r="A258" s="67"/>
      <c r="B258" s="3"/>
      <c r="C258" s="3"/>
      <c r="D258" s="440"/>
      <c r="E258" s="8"/>
      <c r="F258" s="3"/>
      <c r="G258" s="3"/>
      <c r="H258" s="3"/>
      <c r="I258" s="8"/>
      <c r="J258" s="3"/>
      <c r="K258" s="3"/>
      <c r="L258" s="3"/>
      <c r="M258" s="3"/>
      <c r="N258" s="3"/>
      <c r="O258" s="3"/>
      <c r="P258" s="3"/>
      <c r="Q258" s="637"/>
      <c r="R258" s="3"/>
      <c r="S258" s="65"/>
      <c r="T258" s="3"/>
      <c r="U258" s="3"/>
      <c r="V258" s="3"/>
      <c r="W258" s="637"/>
      <c r="X258" s="3"/>
      <c r="Y258" s="3"/>
      <c r="Z258" s="3"/>
      <c r="AA258" s="637"/>
      <c r="AB258" s="8"/>
      <c r="AC258" s="637"/>
      <c r="AD258" s="8"/>
      <c r="AE258" s="31"/>
      <c r="AF258" s="3"/>
      <c r="AG258" s="3"/>
      <c r="AH258" s="3"/>
      <c r="AI258" s="8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10"/>
      <c r="AU258" s="10"/>
      <c r="AV258" s="10"/>
      <c r="AW258" s="10"/>
      <c r="AX258" s="8"/>
      <c r="AY258" s="3"/>
      <c r="AZ258" s="3"/>
      <c r="BA258" s="8"/>
    </row>
    <row x14ac:dyDescent="0.25" r="259" customHeight="1" ht="14.4">
      <c r="A259" s="67"/>
      <c r="B259" s="3"/>
      <c r="C259" s="3"/>
      <c r="D259" s="440"/>
      <c r="E259" s="8"/>
      <c r="F259" s="3"/>
      <c r="G259" s="3"/>
      <c r="H259" s="3"/>
      <c r="I259" s="8"/>
      <c r="J259" s="3"/>
      <c r="K259" s="3"/>
      <c r="L259" s="3"/>
      <c r="M259" s="3"/>
      <c r="N259" s="3"/>
      <c r="O259" s="3"/>
      <c r="P259" s="3"/>
      <c r="Q259" s="637"/>
      <c r="R259" s="3"/>
      <c r="S259" s="65"/>
      <c r="T259" s="3"/>
      <c r="U259" s="3"/>
      <c r="V259" s="3"/>
      <c r="W259" s="637"/>
      <c r="X259" s="3"/>
      <c r="Y259" s="3"/>
      <c r="Z259" s="3"/>
      <c r="AA259" s="637"/>
      <c r="AB259" s="8"/>
      <c r="AC259" s="637"/>
      <c r="AD259" s="8"/>
      <c r="AE259" s="31"/>
      <c r="AF259" s="3"/>
      <c r="AG259" s="3"/>
      <c r="AH259" s="3"/>
      <c r="AI259" s="8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10"/>
      <c r="AU259" s="10"/>
      <c r="AV259" s="10"/>
      <c r="AW259" s="10"/>
      <c r="AX259" s="8"/>
      <c r="AY259" s="3"/>
      <c r="AZ259" s="3"/>
      <c r="BA259" s="8"/>
    </row>
    <row x14ac:dyDescent="0.25" r="260" customHeight="1" ht="14.4">
      <c r="A260" s="67"/>
      <c r="B260" s="3"/>
      <c r="C260" s="3"/>
      <c r="D260" s="440"/>
      <c r="E260" s="8"/>
      <c r="F260" s="3"/>
      <c r="G260" s="3"/>
      <c r="H260" s="3"/>
      <c r="I260" s="8"/>
      <c r="J260" s="3"/>
      <c r="K260" s="3"/>
      <c r="L260" s="3"/>
      <c r="M260" s="3"/>
      <c r="N260" s="3"/>
      <c r="O260" s="3"/>
      <c r="P260" s="3"/>
      <c r="Q260" s="637"/>
      <c r="R260" s="3"/>
      <c r="S260" s="65"/>
      <c r="T260" s="3"/>
      <c r="U260" s="3"/>
      <c r="V260" s="3"/>
      <c r="W260" s="637"/>
      <c r="X260" s="3"/>
      <c r="Y260" s="3"/>
      <c r="Z260" s="3"/>
      <c r="AA260" s="637"/>
      <c r="AB260" s="8"/>
      <c r="AC260" s="637"/>
      <c r="AD260" s="8"/>
      <c r="AE260" s="31"/>
      <c r="AF260" s="3"/>
      <c r="AG260" s="3"/>
      <c r="AH260" s="3"/>
      <c r="AI260" s="8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10"/>
      <c r="AU260" s="10"/>
      <c r="AV260" s="10"/>
      <c r="AW260" s="10"/>
      <c r="AX260" s="8"/>
      <c r="AY260" s="3"/>
      <c r="AZ260" s="3"/>
      <c r="BA260" s="8"/>
    </row>
    <row x14ac:dyDescent="0.25" r="261" customHeight="1" ht="14.4">
      <c r="A261" s="67"/>
      <c r="B261" s="3"/>
      <c r="C261" s="3"/>
      <c r="D261" s="440"/>
      <c r="E261" s="8"/>
      <c r="F261" s="3"/>
      <c r="G261" s="3"/>
      <c r="H261" s="3"/>
      <c r="I261" s="8"/>
      <c r="J261" s="3"/>
      <c r="K261" s="3"/>
      <c r="L261" s="3"/>
      <c r="M261" s="3"/>
      <c r="N261" s="3"/>
      <c r="O261" s="3"/>
      <c r="P261" s="3"/>
      <c r="Q261" s="637"/>
      <c r="R261" s="3"/>
      <c r="S261" s="65"/>
      <c r="T261" s="3"/>
      <c r="U261" s="3"/>
      <c r="V261" s="3"/>
      <c r="W261" s="637"/>
      <c r="X261" s="3"/>
      <c r="Y261" s="3"/>
      <c r="Z261" s="3"/>
      <c r="AA261" s="637"/>
      <c r="AB261" s="8"/>
      <c r="AC261" s="637"/>
      <c r="AD261" s="8"/>
      <c r="AE261" s="31"/>
      <c r="AF261" s="3"/>
      <c r="AG261" s="3"/>
      <c r="AH261" s="3"/>
      <c r="AI261" s="8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10"/>
      <c r="AU261" s="10"/>
      <c r="AV261" s="10"/>
      <c r="AW261" s="10"/>
      <c r="AX261" s="8"/>
      <c r="AY261" s="3"/>
      <c r="AZ261" s="3"/>
      <c r="BA261" s="8"/>
    </row>
    <row x14ac:dyDescent="0.25" r="262" customHeight="1" ht="14.4">
      <c r="A262" s="67"/>
      <c r="B262" s="3"/>
      <c r="C262" s="3"/>
      <c r="D262" s="440"/>
      <c r="E262" s="8"/>
      <c r="F262" s="3"/>
      <c r="G262" s="3"/>
      <c r="H262" s="3"/>
      <c r="I262" s="8"/>
      <c r="J262" s="3"/>
      <c r="K262" s="3"/>
      <c r="L262" s="3"/>
      <c r="M262" s="3"/>
      <c r="N262" s="3"/>
      <c r="O262" s="3"/>
      <c r="P262" s="3"/>
      <c r="Q262" s="637"/>
      <c r="R262" s="3"/>
      <c r="S262" s="65"/>
      <c r="T262" s="3"/>
      <c r="U262" s="3"/>
      <c r="V262" s="3"/>
      <c r="W262" s="637"/>
      <c r="X262" s="3"/>
      <c r="Y262" s="3"/>
      <c r="Z262" s="3"/>
      <c r="AA262" s="637"/>
      <c r="AB262" s="8"/>
      <c r="AC262" s="637"/>
      <c r="AD262" s="8"/>
      <c r="AE262" s="31"/>
      <c r="AF262" s="3"/>
      <c r="AG262" s="3"/>
      <c r="AH262" s="3"/>
      <c r="AI262" s="8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10"/>
      <c r="AU262" s="10"/>
      <c r="AV262" s="10"/>
      <c r="AW262" s="10"/>
      <c r="AX262" s="8"/>
      <c r="AY262" s="3"/>
      <c r="AZ262" s="3"/>
      <c r="BA262" s="8"/>
    </row>
    <row x14ac:dyDescent="0.25" r="263" customHeight="1" ht="14.4">
      <c r="A263" s="67"/>
      <c r="B263" s="3"/>
      <c r="C263" s="3"/>
      <c r="D263" s="440"/>
      <c r="E263" s="8"/>
      <c r="F263" s="3"/>
      <c r="G263" s="3"/>
      <c r="H263" s="3"/>
      <c r="I263" s="8"/>
      <c r="J263" s="3"/>
      <c r="K263" s="3"/>
      <c r="L263" s="3"/>
      <c r="M263" s="3"/>
      <c r="N263" s="3"/>
      <c r="O263" s="3"/>
      <c r="P263" s="3"/>
      <c r="Q263" s="637"/>
      <c r="R263" s="3"/>
      <c r="S263" s="65"/>
      <c r="T263" s="3"/>
      <c r="U263" s="3"/>
      <c r="V263" s="3"/>
      <c r="W263" s="637"/>
      <c r="X263" s="3"/>
      <c r="Y263" s="3"/>
      <c r="Z263" s="3"/>
      <c r="AA263" s="637"/>
      <c r="AB263" s="8"/>
      <c r="AC263" s="637"/>
      <c r="AD263" s="8"/>
      <c r="AE263" s="31"/>
      <c r="AF263" s="3"/>
      <c r="AG263" s="3"/>
      <c r="AH263" s="3"/>
      <c r="AI263" s="8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10"/>
      <c r="AU263" s="10"/>
      <c r="AV263" s="10"/>
      <c r="AW263" s="10"/>
      <c r="AX263" s="8"/>
      <c r="AY263" s="3"/>
      <c r="AZ263" s="3"/>
      <c r="BA263" s="8"/>
    </row>
    <row x14ac:dyDescent="0.25" r="264" customHeight="1" ht="14.4">
      <c r="A264" s="67"/>
      <c r="B264" s="3"/>
      <c r="C264" s="3"/>
      <c r="D264" s="440"/>
      <c r="E264" s="8"/>
      <c r="F264" s="3"/>
      <c r="G264" s="3"/>
      <c r="H264" s="3"/>
      <c r="I264" s="8"/>
      <c r="J264" s="3"/>
      <c r="K264" s="3"/>
      <c r="L264" s="3"/>
      <c r="M264" s="3"/>
      <c r="N264" s="3"/>
      <c r="O264" s="3"/>
      <c r="P264" s="3"/>
      <c r="Q264" s="637"/>
      <c r="R264" s="3"/>
      <c r="S264" s="65"/>
      <c r="T264" s="3"/>
      <c r="U264" s="3"/>
      <c r="V264" s="3"/>
      <c r="W264" s="637"/>
      <c r="X264" s="3"/>
      <c r="Y264" s="3"/>
      <c r="Z264" s="3"/>
      <c r="AA264" s="637"/>
      <c r="AB264" s="8"/>
      <c r="AC264" s="637"/>
      <c r="AD264" s="8"/>
      <c r="AE264" s="31"/>
      <c r="AF264" s="3"/>
      <c r="AG264" s="3"/>
      <c r="AH264" s="3"/>
      <c r="AI264" s="8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10"/>
      <c r="AU264" s="10"/>
      <c r="AV264" s="10"/>
      <c r="AW264" s="10"/>
      <c r="AX264" s="8"/>
      <c r="AY264" s="3"/>
      <c r="AZ264" s="3"/>
      <c r="BA264" s="8"/>
    </row>
    <row x14ac:dyDescent="0.25" r="265" customHeight="1" ht="14.4">
      <c r="A265" s="67"/>
      <c r="B265" s="3"/>
      <c r="C265" s="3"/>
      <c r="D265" s="440"/>
      <c r="E265" s="8"/>
      <c r="F265" s="3"/>
      <c r="G265" s="3"/>
      <c r="H265" s="3"/>
      <c r="I265" s="8"/>
      <c r="J265" s="3"/>
      <c r="K265" s="3"/>
      <c r="L265" s="3"/>
      <c r="M265" s="3"/>
      <c r="N265" s="3"/>
      <c r="O265" s="3"/>
      <c r="P265" s="3"/>
      <c r="Q265" s="637"/>
      <c r="R265" s="3"/>
      <c r="S265" s="65"/>
      <c r="T265" s="3"/>
      <c r="U265" s="3"/>
      <c r="V265" s="3"/>
      <c r="W265" s="637"/>
      <c r="X265" s="3"/>
      <c r="Y265" s="3"/>
      <c r="Z265" s="3"/>
      <c r="AA265" s="637"/>
      <c r="AB265" s="8"/>
      <c r="AC265" s="637"/>
      <c r="AD265" s="8"/>
      <c r="AE265" s="31"/>
      <c r="AF265" s="3"/>
      <c r="AG265" s="3"/>
      <c r="AH265" s="3"/>
      <c r="AI265" s="8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10"/>
      <c r="AU265" s="10"/>
      <c r="AV265" s="10"/>
      <c r="AW265" s="10"/>
      <c r="AX265" s="8"/>
      <c r="AY265" s="3"/>
      <c r="AZ265" s="3"/>
      <c r="BA265" s="8"/>
    </row>
    <row x14ac:dyDescent="0.25" r="266" customHeight="1" ht="14.4">
      <c r="A266" s="67"/>
      <c r="B266" s="3"/>
      <c r="C266" s="3"/>
      <c r="D266" s="440"/>
      <c r="E266" s="8"/>
      <c r="F266" s="3"/>
      <c r="G266" s="3"/>
      <c r="H266" s="3"/>
      <c r="I266" s="8"/>
      <c r="J266" s="3"/>
      <c r="K266" s="3"/>
      <c r="L266" s="3"/>
      <c r="M266" s="3"/>
      <c r="N266" s="3"/>
      <c r="O266" s="3"/>
      <c r="P266" s="3"/>
      <c r="Q266" s="637"/>
      <c r="R266" s="3"/>
      <c r="S266" s="65"/>
      <c r="T266" s="3"/>
      <c r="U266" s="3"/>
      <c r="V266" s="3"/>
      <c r="W266" s="637"/>
      <c r="X266" s="3"/>
      <c r="Y266" s="3"/>
      <c r="Z266" s="3"/>
      <c r="AA266" s="637"/>
      <c r="AB266" s="8"/>
      <c r="AC266" s="637"/>
      <c r="AD266" s="8"/>
      <c r="AE266" s="31"/>
      <c r="AF266" s="3"/>
      <c r="AG266" s="3"/>
      <c r="AH266" s="3"/>
      <c r="AI266" s="8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10"/>
      <c r="AU266" s="10"/>
      <c r="AV266" s="10"/>
      <c r="AW266" s="10"/>
      <c r="AX266" s="8"/>
      <c r="AY266" s="3"/>
      <c r="AZ266" s="3"/>
      <c r="BA266" s="8"/>
    </row>
    <row x14ac:dyDescent="0.25" r="267" customHeight="1" ht="14.4">
      <c r="A267" s="67"/>
      <c r="B267" s="3"/>
      <c r="C267" s="3"/>
      <c r="D267" s="440"/>
      <c r="E267" s="8"/>
      <c r="F267" s="3"/>
      <c r="G267" s="3"/>
      <c r="H267" s="3"/>
      <c r="I267" s="8"/>
      <c r="J267" s="3"/>
      <c r="K267" s="3"/>
      <c r="L267" s="3"/>
      <c r="M267" s="3"/>
      <c r="N267" s="3"/>
      <c r="O267" s="3"/>
      <c r="P267" s="3"/>
      <c r="Q267" s="637"/>
      <c r="R267" s="3"/>
      <c r="S267" s="65"/>
      <c r="T267" s="3"/>
      <c r="U267" s="3"/>
      <c r="V267" s="3"/>
      <c r="W267" s="637"/>
      <c r="X267" s="3"/>
      <c r="Y267" s="3"/>
      <c r="Z267" s="3"/>
      <c r="AA267" s="637"/>
      <c r="AB267" s="8"/>
      <c r="AC267" s="637"/>
      <c r="AD267" s="8"/>
      <c r="AE267" s="31"/>
      <c r="AF267" s="3"/>
      <c r="AG267" s="3"/>
      <c r="AH267" s="3"/>
      <c r="AI267" s="8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10"/>
      <c r="AU267" s="10"/>
      <c r="AV267" s="10"/>
      <c r="AW267" s="10"/>
      <c r="AX267" s="8"/>
      <c r="AY267" s="3"/>
      <c r="AZ267" s="3"/>
      <c r="BA267" s="8"/>
    </row>
    <row x14ac:dyDescent="0.25" r="268" customHeight="1" ht="14.4">
      <c r="A268" s="67"/>
      <c r="B268" s="3"/>
      <c r="C268" s="3"/>
      <c r="D268" s="440"/>
      <c r="E268" s="8"/>
      <c r="F268" s="3"/>
      <c r="G268" s="3"/>
      <c r="H268" s="3"/>
      <c r="I268" s="8"/>
      <c r="J268" s="3"/>
      <c r="K268" s="3"/>
      <c r="L268" s="3"/>
      <c r="M268" s="3"/>
      <c r="N268" s="3"/>
      <c r="O268" s="3"/>
      <c r="P268" s="3"/>
      <c r="Q268" s="637"/>
      <c r="R268" s="3"/>
      <c r="S268" s="65"/>
      <c r="T268" s="3"/>
      <c r="U268" s="3"/>
      <c r="V268" s="3"/>
      <c r="W268" s="637"/>
      <c r="X268" s="3"/>
      <c r="Y268" s="3"/>
      <c r="Z268" s="3"/>
      <c r="AA268" s="637"/>
      <c r="AB268" s="8"/>
      <c r="AC268" s="637"/>
      <c r="AD268" s="8"/>
      <c r="AE268" s="31"/>
      <c r="AF268" s="3"/>
      <c r="AG268" s="3"/>
      <c r="AH268" s="3"/>
      <c r="AI268" s="8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10"/>
      <c r="AU268" s="10"/>
      <c r="AV268" s="10"/>
      <c r="AW268" s="10"/>
      <c r="AX268" s="8"/>
      <c r="AY268" s="3"/>
      <c r="AZ268" s="3"/>
      <c r="BA268" s="8"/>
    </row>
    <row x14ac:dyDescent="0.25" r="269" customHeight="1" ht="14.4">
      <c r="A269" s="67"/>
      <c r="B269" s="3"/>
      <c r="C269" s="3"/>
      <c r="D269" s="440"/>
      <c r="E269" s="8"/>
      <c r="F269" s="3"/>
      <c r="G269" s="3"/>
      <c r="H269" s="3"/>
      <c r="I269" s="8"/>
      <c r="J269" s="3"/>
      <c r="K269" s="3"/>
      <c r="L269" s="3"/>
      <c r="M269" s="3"/>
      <c r="N269" s="3"/>
      <c r="O269" s="3"/>
      <c r="P269" s="3"/>
      <c r="Q269" s="637"/>
      <c r="R269" s="3"/>
      <c r="S269" s="65"/>
      <c r="T269" s="3"/>
      <c r="U269" s="3"/>
      <c r="V269" s="3"/>
      <c r="W269" s="637"/>
      <c r="X269" s="3"/>
      <c r="Y269" s="3"/>
      <c r="Z269" s="3"/>
      <c r="AA269" s="637"/>
      <c r="AB269" s="8"/>
      <c r="AC269" s="637"/>
      <c r="AD269" s="8"/>
      <c r="AE269" s="31"/>
      <c r="AF269" s="3"/>
      <c r="AG269" s="3"/>
      <c r="AH269" s="3"/>
      <c r="AI269" s="8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10"/>
      <c r="AU269" s="10"/>
      <c r="AV269" s="10"/>
      <c r="AW269" s="10"/>
      <c r="AX269" s="8"/>
      <c r="AY269" s="3"/>
      <c r="AZ269" s="3"/>
      <c r="BA269" s="8"/>
    </row>
    <row x14ac:dyDescent="0.25" r="270" customHeight="1" ht="14.4">
      <c r="A270" s="67"/>
      <c r="B270" s="3"/>
      <c r="C270" s="3"/>
      <c r="D270" s="440"/>
      <c r="E270" s="8"/>
      <c r="F270" s="3"/>
      <c r="G270" s="3"/>
      <c r="H270" s="3"/>
      <c r="I270" s="8"/>
      <c r="J270" s="3"/>
      <c r="K270" s="3"/>
      <c r="L270" s="3"/>
      <c r="M270" s="3"/>
      <c r="N270" s="3"/>
      <c r="O270" s="3"/>
      <c r="P270" s="3"/>
      <c r="Q270" s="637"/>
      <c r="R270" s="3"/>
      <c r="S270" s="65"/>
      <c r="T270" s="3"/>
      <c r="U270" s="3"/>
      <c r="V270" s="3"/>
      <c r="W270" s="637"/>
      <c r="X270" s="3"/>
      <c r="Y270" s="3"/>
      <c r="Z270" s="3"/>
      <c r="AA270" s="637"/>
      <c r="AB270" s="8"/>
      <c r="AC270" s="637"/>
      <c r="AD270" s="8"/>
      <c r="AE270" s="31"/>
      <c r="AF270" s="3"/>
      <c r="AG270" s="3"/>
      <c r="AH270" s="3"/>
      <c r="AI270" s="8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10"/>
      <c r="AU270" s="10"/>
      <c r="AV270" s="10"/>
      <c r="AW270" s="10"/>
      <c r="AX270" s="8"/>
      <c r="AY270" s="3"/>
      <c r="AZ270" s="3"/>
      <c r="BA270" s="8"/>
    </row>
    <row x14ac:dyDescent="0.25" r="271" customHeight="1" ht="14.4">
      <c r="A271" s="67"/>
      <c r="B271" s="3"/>
      <c r="C271" s="3"/>
      <c r="D271" s="440"/>
      <c r="E271" s="8"/>
      <c r="F271" s="3"/>
      <c r="G271" s="3"/>
      <c r="H271" s="3"/>
      <c r="I271" s="8"/>
      <c r="J271" s="3"/>
      <c r="K271" s="3"/>
      <c r="L271" s="3"/>
      <c r="M271" s="3"/>
      <c r="N271" s="3"/>
      <c r="O271" s="3"/>
      <c r="P271" s="3"/>
      <c r="Q271" s="637"/>
      <c r="R271" s="3"/>
      <c r="S271" s="65"/>
      <c r="T271" s="3"/>
      <c r="U271" s="3"/>
      <c r="V271" s="3"/>
      <c r="W271" s="637"/>
      <c r="X271" s="3"/>
      <c r="Y271" s="3"/>
      <c r="Z271" s="3"/>
      <c r="AA271" s="637"/>
      <c r="AB271" s="8"/>
      <c r="AC271" s="637"/>
      <c r="AD271" s="8"/>
      <c r="AE271" s="31"/>
      <c r="AF271" s="3"/>
      <c r="AG271" s="3"/>
      <c r="AH271" s="3"/>
      <c r="AI271" s="8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10"/>
      <c r="AU271" s="10"/>
      <c r="AV271" s="10"/>
      <c r="AW271" s="10"/>
      <c r="AX271" s="8"/>
      <c r="AY271" s="3"/>
      <c r="AZ271" s="3"/>
      <c r="BA271" s="8"/>
    </row>
    <row x14ac:dyDescent="0.25" r="272" customHeight="1" ht="14.4">
      <c r="A272" s="67"/>
      <c r="B272" s="3"/>
      <c r="C272" s="3"/>
      <c r="D272" s="440"/>
      <c r="E272" s="8"/>
      <c r="F272" s="3"/>
      <c r="G272" s="3"/>
      <c r="H272" s="3"/>
      <c r="I272" s="8"/>
      <c r="J272" s="3"/>
      <c r="K272" s="3"/>
      <c r="L272" s="3"/>
      <c r="M272" s="3"/>
      <c r="N272" s="3"/>
      <c r="O272" s="3"/>
      <c r="P272" s="3"/>
      <c r="Q272" s="637"/>
      <c r="R272" s="3"/>
      <c r="S272" s="65"/>
      <c r="T272" s="3"/>
      <c r="U272" s="3"/>
      <c r="V272" s="3"/>
      <c r="W272" s="637"/>
      <c r="X272" s="3"/>
      <c r="Y272" s="3"/>
      <c r="Z272" s="3"/>
      <c r="AA272" s="637"/>
      <c r="AB272" s="8"/>
      <c r="AC272" s="637"/>
      <c r="AD272" s="8"/>
      <c r="AE272" s="31"/>
      <c r="AF272" s="3"/>
      <c r="AG272" s="3"/>
      <c r="AH272" s="3"/>
      <c r="AI272" s="8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10"/>
      <c r="AU272" s="10"/>
      <c r="AV272" s="10"/>
      <c r="AW272" s="10"/>
      <c r="AX272" s="8"/>
      <c r="AY272" s="3"/>
      <c r="AZ272" s="3"/>
      <c r="BA272" s="8"/>
    </row>
    <row x14ac:dyDescent="0.25" r="273" customHeight="1" ht="14.4">
      <c r="A273" s="67"/>
      <c r="B273" s="3"/>
      <c r="C273" s="3"/>
      <c r="D273" s="440"/>
      <c r="E273" s="8"/>
      <c r="F273" s="3"/>
      <c r="G273" s="3"/>
      <c r="H273" s="3"/>
      <c r="I273" s="8"/>
      <c r="J273" s="3"/>
      <c r="K273" s="3"/>
      <c r="L273" s="3"/>
      <c r="M273" s="3"/>
      <c r="N273" s="3"/>
      <c r="O273" s="3"/>
      <c r="P273" s="3"/>
      <c r="Q273" s="637"/>
      <c r="R273" s="3"/>
      <c r="S273" s="65"/>
      <c r="T273" s="3"/>
      <c r="U273" s="3"/>
      <c r="V273" s="3"/>
      <c r="W273" s="637"/>
      <c r="X273" s="3"/>
      <c r="Y273" s="3"/>
      <c r="Z273" s="3"/>
      <c r="AA273" s="637"/>
      <c r="AB273" s="8"/>
      <c r="AC273" s="637"/>
      <c r="AD273" s="8"/>
      <c r="AE273" s="31"/>
      <c r="AF273" s="3"/>
      <c r="AG273" s="3"/>
      <c r="AH273" s="3"/>
      <c r="AI273" s="8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10"/>
      <c r="AU273" s="10"/>
      <c r="AV273" s="10"/>
      <c r="AW273" s="10"/>
      <c r="AX273" s="8"/>
      <c r="AY273" s="3"/>
      <c r="AZ273" s="3"/>
      <c r="BA273" s="8"/>
    </row>
    <row x14ac:dyDescent="0.25" r="274" customHeight="1" ht="14.4">
      <c r="A274" s="67"/>
      <c r="B274" s="3"/>
      <c r="C274" s="3"/>
      <c r="D274" s="440"/>
      <c r="E274" s="8"/>
      <c r="F274" s="3"/>
      <c r="G274" s="3"/>
      <c r="H274" s="3"/>
      <c r="I274" s="8"/>
      <c r="J274" s="3"/>
      <c r="K274" s="3"/>
      <c r="L274" s="3"/>
      <c r="M274" s="3"/>
      <c r="N274" s="3"/>
      <c r="O274" s="3"/>
      <c r="P274" s="3"/>
      <c r="Q274" s="637"/>
      <c r="R274" s="3"/>
      <c r="S274" s="65"/>
      <c r="T274" s="3"/>
      <c r="U274" s="3"/>
      <c r="V274" s="3"/>
      <c r="W274" s="637"/>
      <c r="X274" s="3"/>
      <c r="Y274" s="3"/>
      <c r="Z274" s="3"/>
      <c r="AA274" s="637"/>
      <c r="AB274" s="8"/>
      <c r="AC274" s="637"/>
      <c r="AD274" s="8"/>
      <c r="AE274" s="31"/>
      <c r="AF274" s="3"/>
      <c r="AG274" s="3"/>
      <c r="AH274" s="3"/>
      <c r="AI274" s="8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10"/>
      <c r="AU274" s="10"/>
      <c r="AV274" s="10"/>
      <c r="AW274" s="10"/>
      <c r="AX274" s="8"/>
      <c r="AY274" s="3"/>
      <c r="AZ274" s="3"/>
      <c r="BA274" s="8"/>
    </row>
    <row x14ac:dyDescent="0.25" r="275" customHeight="1" ht="14.4">
      <c r="A275" s="67"/>
      <c r="B275" s="3"/>
      <c r="C275" s="3"/>
      <c r="D275" s="440"/>
      <c r="E275" s="8"/>
      <c r="F275" s="3"/>
      <c r="G275" s="3"/>
      <c r="H275" s="3"/>
      <c r="I275" s="8"/>
      <c r="J275" s="3"/>
      <c r="K275" s="3"/>
      <c r="L275" s="3"/>
      <c r="M275" s="3"/>
      <c r="N275" s="3"/>
      <c r="O275" s="3"/>
      <c r="P275" s="3"/>
      <c r="Q275" s="637"/>
      <c r="R275" s="3"/>
      <c r="S275" s="65"/>
      <c r="T275" s="3"/>
      <c r="U275" s="3"/>
      <c r="V275" s="3"/>
      <c r="W275" s="637"/>
      <c r="X275" s="3"/>
      <c r="Y275" s="3"/>
      <c r="Z275" s="3"/>
      <c r="AA275" s="637"/>
      <c r="AB275" s="8"/>
      <c r="AC275" s="637"/>
      <c r="AD275" s="8"/>
      <c r="AE275" s="31"/>
      <c r="AF275" s="3"/>
      <c r="AG275" s="3"/>
      <c r="AH275" s="3"/>
      <c r="AI275" s="8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10"/>
      <c r="AU275" s="10"/>
      <c r="AV275" s="10"/>
      <c r="AW275" s="10"/>
      <c r="AX275" s="8"/>
      <c r="AY275" s="3"/>
      <c r="AZ275" s="3"/>
      <c r="BA275" s="8"/>
    </row>
    <row x14ac:dyDescent="0.25" r="276" customHeight="1" ht="14.4">
      <c r="A276" s="67"/>
      <c r="B276" s="3"/>
      <c r="C276" s="3"/>
      <c r="D276" s="440"/>
      <c r="E276" s="8"/>
      <c r="F276" s="3"/>
      <c r="G276" s="3"/>
      <c r="H276" s="3"/>
      <c r="I276" s="8"/>
      <c r="J276" s="3"/>
      <c r="K276" s="3"/>
      <c r="L276" s="3"/>
      <c r="M276" s="3"/>
      <c r="N276" s="3"/>
      <c r="O276" s="3"/>
      <c r="P276" s="3"/>
      <c r="Q276" s="637"/>
      <c r="R276" s="3"/>
      <c r="S276" s="65"/>
      <c r="T276" s="3"/>
      <c r="U276" s="3"/>
      <c r="V276" s="3"/>
      <c r="W276" s="637"/>
      <c r="X276" s="3"/>
      <c r="Y276" s="3"/>
      <c r="Z276" s="3"/>
      <c r="AA276" s="637"/>
      <c r="AB276" s="8"/>
      <c r="AC276" s="637"/>
      <c r="AD276" s="8"/>
      <c r="AE276" s="31"/>
      <c r="AF276" s="3"/>
      <c r="AG276" s="3"/>
      <c r="AH276" s="3"/>
      <c r="AI276" s="8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10"/>
      <c r="AU276" s="10"/>
      <c r="AV276" s="10"/>
      <c r="AW276" s="10"/>
      <c r="AX276" s="8"/>
      <c r="AY276" s="3"/>
      <c r="AZ276" s="3"/>
      <c r="BA276" s="8"/>
    </row>
    <row x14ac:dyDescent="0.25" r="277" customHeight="1" ht="14.4">
      <c r="A277" s="67"/>
      <c r="B277" s="3"/>
      <c r="C277" s="3"/>
      <c r="D277" s="440"/>
      <c r="E277" s="8"/>
      <c r="F277" s="3"/>
      <c r="G277" s="3"/>
      <c r="H277" s="3"/>
      <c r="I277" s="8"/>
      <c r="J277" s="3"/>
      <c r="K277" s="3"/>
      <c r="L277" s="3"/>
      <c r="M277" s="3"/>
      <c r="N277" s="3"/>
      <c r="O277" s="3"/>
      <c r="P277" s="3"/>
      <c r="Q277" s="637"/>
      <c r="R277" s="3"/>
      <c r="S277" s="65"/>
      <c r="T277" s="3"/>
      <c r="U277" s="3"/>
      <c r="V277" s="3"/>
      <c r="W277" s="637"/>
      <c r="X277" s="3"/>
      <c r="Y277" s="3"/>
      <c r="Z277" s="3"/>
      <c r="AA277" s="637"/>
      <c r="AB277" s="8"/>
      <c r="AC277" s="637"/>
      <c r="AD277" s="8"/>
      <c r="AE277" s="31"/>
      <c r="AF277" s="3"/>
      <c r="AG277" s="3"/>
      <c r="AH277" s="3"/>
      <c r="AI277" s="8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10"/>
      <c r="AU277" s="10"/>
      <c r="AV277" s="10"/>
      <c r="AW277" s="10"/>
      <c r="AX277" s="8"/>
      <c r="AY277" s="3"/>
      <c r="AZ277" s="3"/>
      <c r="BA277" s="8"/>
    </row>
    <row x14ac:dyDescent="0.25" r="278" customHeight="1" ht="14.4">
      <c r="A278" s="67"/>
      <c r="B278" s="3"/>
      <c r="C278" s="3"/>
      <c r="D278" s="440"/>
      <c r="E278" s="8"/>
      <c r="F278" s="3"/>
      <c r="G278" s="3"/>
      <c r="H278" s="3"/>
      <c r="I278" s="8"/>
      <c r="J278" s="3"/>
      <c r="K278" s="3"/>
      <c r="L278" s="3"/>
      <c r="M278" s="3"/>
      <c r="N278" s="3"/>
      <c r="O278" s="3"/>
      <c r="P278" s="3"/>
      <c r="Q278" s="637"/>
      <c r="R278" s="3"/>
      <c r="S278" s="65"/>
      <c r="T278" s="3"/>
      <c r="U278" s="3"/>
      <c r="V278" s="3"/>
      <c r="W278" s="637"/>
      <c r="X278" s="3"/>
      <c r="Y278" s="3"/>
      <c r="Z278" s="3"/>
      <c r="AA278" s="637"/>
      <c r="AB278" s="8"/>
      <c r="AC278" s="637"/>
      <c r="AD278" s="8"/>
      <c r="AE278" s="31"/>
      <c r="AF278" s="3"/>
      <c r="AG278" s="3"/>
      <c r="AH278" s="3"/>
      <c r="AI278" s="8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10"/>
      <c r="AU278" s="10"/>
      <c r="AV278" s="10"/>
      <c r="AW278" s="10"/>
      <c r="AX278" s="8"/>
      <c r="AY278" s="3"/>
      <c r="AZ278" s="3"/>
      <c r="BA278" s="8"/>
    </row>
    <row x14ac:dyDescent="0.25" r="279" customHeight="1" ht="14.4">
      <c r="A279" s="67"/>
      <c r="B279" s="3"/>
      <c r="C279" s="3"/>
      <c r="D279" s="440"/>
      <c r="E279" s="8"/>
      <c r="F279" s="3"/>
      <c r="G279" s="3"/>
      <c r="H279" s="3"/>
      <c r="I279" s="8"/>
      <c r="J279" s="3"/>
      <c r="K279" s="3"/>
      <c r="L279" s="3"/>
      <c r="M279" s="3"/>
      <c r="N279" s="3"/>
      <c r="O279" s="3"/>
      <c r="P279" s="3"/>
      <c r="Q279" s="637"/>
      <c r="R279" s="3"/>
      <c r="S279" s="65"/>
      <c r="T279" s="3"/>
      <c r="U279" s="3"/>
      <c r="V279" s="3"/>
      <c r="W279" s="637"/>
      <c r="X279" s="3"/>
      <c r="Y279" s="3"/>
      <c r="Z279" s="3"/>
      <c r="AA279" s="637"/>
      <c r="AB279" s="8"/>
      <c r="AC279" s="637"/>
      <c r="AD279" s="8"/>
      <c r="AE279" s="31"/>
      <c r="AF279" s="3"/>
      <c r="AG279" s="3"/>
      <c r="AH279" s="3"/>
      <c r="AI279" s="8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10"/>
      <c r="AU279" s="10"/>
      <c r="AV279" s="10"/>
      <c r="AW279" s="10"/>
      <c r="AX279" s="8"/>
      <c r="AY279" s="3"/>
      <c r="AZ279" s="3"/>
      <c r="BA279" s="8"/>
    </row>
    <row x14ac:dyDescent="0.25" r="280" customHeight="1" ht="14.4">
      <c r="A280" s="440"/>
      <c r="B280" s="3"/>
      <c r="C280" s="3"/>
      <c r="D280" s="440"/>
      <c r="E280" s="8"/>
      <c r="F280" s="3"/>
      <c r="G280" s="3"/>
      <c r="H280" s="3"/>
      <c r="I280" s="8"/>
      <c r="J280" s="3"/>
      <c r="K280" s="3"/>
      <c r="L280" s="3"/>
      <c r="M280" s="3"/>
      <c r="N280" s="3"/>
      <c r="O280" s="3"/>
      <c r="P280" s="3"/>
      <c r="Q280" s="637"/>
      <c r="R280" s="3"/>
      <c r="S280" s="65"/>
      <c r="T280" s="3"/>
      <c r="U280" s="3"/>
      <c r="V280" s="3"/>
      <c r="W280" s="637"/>
      <c r="X280" s="3"/>
      <c r="Y280" s="3"/>
      <c r="Z280" s="3"/>
      <c r="AA280" s="637"/>
      <c r="AB280" s="8"/>
      <c r="AC280" s="637"/>
      <c r="AD280" s="8"/>
      <c r="AE280" s="31"/>
      <c r="AF280" s="3"/>
      <c r="AG280" s="3"/>
      <c r="AH280" s="3"/>
      <c r="AI280" s="8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10"/>
      <c r="AU280" s="10"/>
      <c r="AV280" s="10"/>
      <c r="AW280" s="10"/>
      <c r="AX280" s="8"/>
      <c r="AY280" s="3"/>
      <c r="AZ280" s="3"/>
      <c r="BA280" s="8"/>
    </row>
    <row x14ac:dyDescent="0.25" r="281" customHeight="1" ht="14.4">
      <c r="A281" s="440"/>
      <c r="B281" s="3"/>
      <c r="C281" s="3"/>
      <c r="D281" s="440"/>
      <c r="E281" s="8"/>
      <c r="F281" s="3"/>
      <c r="G281" s="3"/>
      <c r="H281" s="3"/>
      <c r="I281" s="8"/>
      <c r="J281" s="3"/>
      <c r="K281" s="3"/>
      <c r="L281" s="3"/>
      <c r="M281" s="3"/>
      <c r="N281" s="3"/>
      <c r="O281" s="3"/>
      <c r="P281" s="3"/>
      <c r="Q281" s="637"/>
      <c r="R281" s="3"/>
      <c r="S281" s="65"/>
      <c r="T281" s="3"/>
      <c r="U281" s="3"/>
      <c r="V281" s="3"/>
      <c r="W281" s="31"/>
      <c r="X281" s="3"/>
      <c r="Y281" s="3"/>
      <c r="Z281" s="3"/>
      <c r="AA281" s="637"/>
      <c r="AB281" s="8"/>
      <c r="AC281" s="637"/>
      <c r="AD281" s="8"/>
      <c r="AE281" s="637"/>
      <c r="AF281" s="3"/>
      <c r="AG281" s="3"/>
      <c r="AH281" s="3"/>
      <c r="AI281" s="8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22"/>
      <c r="AU281" s="22"/>
      <c r="AV281" s="22"/>
      <c r="AW281" s="22"/>
      <c r="AX281" s="8"/>
      <c r="AY281" s="3"/>
      <c r="AZ281" s="3"/>
      <c r="BA281" s="8"/>
    </row>
    <row x14ac:dyDescent="0.25" r="282" customHeight="1" ht="14.4">
      <c r="A282" s="440"/>
      <c r="B282" s="3"/>
      <c r="C282" s="3"/>
      <c r="D282" s="440"/>
      <c r="E282" s="8"/>
      <c r="F282" s="3"/>
      <c r="G282" s="3"/>
      <c r="H282" s="3"/>
      <c r="I282" s="8"/>
      <c r="J282" s="3"/>
      <c r="K282" s="3"/>
      <c r="L282" s="3"/>
      <c r="M282" s="3"/>
      <c r="N282" s="3"/>
      <c r="O282" s="3"/>
      <c r="P282" s="3"/>
      <c r="Q282" s="637"/>
      <c r="R282" s="3"/>
      <c r="S282" s="65"/>
      <c r="T282" s="3"/>
      <c r="U282" s="3"/>
      <c r="V282" s="3"/>
      <c r="W282" s="31"/>
      <c r="X282" s="3"/>
      <c r="Y282" s="3"/>
      <c r="Z282" s="3"/>
      <c r="AA282" s="637"/>
      <c r="AB282" s="8"/>
      <c r="AC282" s="637"/>
      <c r="AD282" s="8"/>
      <c r="AE282" s="637"/>
      <c r="AF282" s="3"/>
      <c r="AG282" s="3"/>
      <c r="AH282" s="3"/>
      <c r="AI282" s="8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22"/>
      <c r="AU282" s="22"/>
      <c r="AV282" s="22"/>
      <c r="AW282" s="22"/>
      <c r="AX282" s="8"/>
      <c r="AY282" s="3"/>
      <c r="AZ282" s="3"/>
      <c r="BA282" s="8"/>
    </row>
    <row x14ac:dyDescent="0.25" r="283" customHeight="1" ht="14.4">
      <c r="A283" s="440"/>
      <c r="B283" s="3"/>
      <c r="C283" s="3"/>
      <c r="D283" s="440"/>
      <c r="E283" s="8"/>
      <c r="F283" s="3"/>
      <c r="G283" s="3"/>
      <c r="H283" s="3"/>
      <c r="I283" s="8"/>
      <c r="J283" s="3"/>
      <c r="K283" s="3"/>
      <c r="L283" s="3"/>
      <c r="M283" s="3"/>
      <c r="N283" s="3"/>
      <c r="O283" s="3"/>
      <c r="P283" s="3"/>
      <c r="Q283" s="637"/>
      <c r="R283" s="3"/>
      <c r="S283" s="65"/>
      <c r="T283" s="3"/>
      <c r="U283" s="3"/>
      <c r="V283" s="3"/>
      <c r="W283" s="31"/>
      <c r="X283" s="3"/>
      <c r="Y283" s="3"/>
      <c r="Z283" s="3"/>
      <c r="AA283" s="637"/>
      <c r="AB283" s="8"/>
      <c r="AC283" s="637"/>
      <c r="AD283" s="8"/>
      <c r="AE283" s="637"/>
      <c r="AF283" s="3"/>
      <c r="AG283" s="3"/>
      <c r="AH283" s="3"/>
      <c r="AI283" s="8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22"/>
      <c r="AU283" s="22"/>
      <c r="AV283" s="22"/>
      <c r="AW283" s="22"/>
      <c r="AX283" s="8"/>
      <c r="AY283" s="3"/>
      <c r="AZ283" s="3"/>
      <c r="BA283" s="8"/>
    </row>
    <row x14ac:dyDescent="0.25" r="284" customHeight="1" ht="14.4">
      <c r="A284" s="440"/>
      <c r="B284" s="3"/>
      <c r="C284" s="3"/>
      <c r="D284" s="440"/>
      <c r="E284" s="8"/>
      <c r="F284" s="3"/>
      <c r="G284" s="3"/>
      <c r="H284" s="3"/>
      <c r="I284" s="8"/>
      <c r="J284" s="3"/>
      <c r="K284" s="3"/>
      <c r="L284" s="3"/>
      <c r="M284" s="3"/>
      <c r="N284" s="3"/>
      <c r="O284" s="3"/>
      <c r="P284" s="3"/>
      <c r="Q284" s="637"/>
      <c r="R284" s="3"/>
      <c r="S284" s="65"/>
      <c r="T284" s="3"/>
      <c r="U284" s="3"/>
      <c r="V284" s="3"/>
      <c r="W284" s="31"/>
      <c r="X284" s="3"/>
      <c r="Y284" s="3"/>
      <c r="Z284" s="3"/>
      <c r="AA284" s="637"/>
      <c r="AB284" s="8"/>
      <c r="AC284" s="637"/>
      <c r="AD284" s="8"/>
      <c r="AE284" s="637"/>
      <c r="AF284" s="3"/>
      <c r="AG284" s="3"/>
      <c r="AH284" s="3"/>
      <c r="AI284" s="8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22"/>
      <c r="AU284" s="22"/>
      <c r="AV284" s="22"/>
      <c r="AW284" s="22"/>
      <c r="AX284" s="8"/>
      <c r="AY284" s="3"/>
      <c r="AZ284" s="3"/>
      <c r="BA284" s="8"/>
    </row>
    <row x14ac:dyDescent="0.25" r="285" customHeight="1" ht="14.4">
      <c r="A285" s="440"/>
      <c r="B285" s="3"/>
      <c r="C285" s="3"/>
      <c r="D285" s="440"/>
      <c r="E285" s="8"/>
      <c r="F285" s="3"/>
      <c r="G285" s="3"/>
      <c r="H285" s="3"/>
      <c r="I285" s="8"/>
      <c r="J285" s="3"/>
      <c r="K285" s="3"/>
      <c r="L285" s="3"/>
      <c r="M285" s="3"/>
      <c r="N285" s="3"/>
      <c r="O285" s="3"/>
      <c r="P285" s="3"/>
      <c r="Q285" s="637"/>
      <c r="R285" s="3"/>
      <c r="S285" s="65"/>
      <c r="T285" s="3"/>
      <c r="U285" s="3"/>
      <c r="V285" s="3"/>
      <c r="W285" s="31"/>
      <c r="X285" s="3"/>
      <c r="Y285" s="3"/>
      <c r="Z285" s="3"/>
      <c r="AA285" s="637"/>
      <c r="AB285" s="8"/>
      <c r="AC285" s="637"/>
      <c r="AD285" s="8"/>
      <c r="AE285" s="637"/>
      <c r="AF285" s="3"/>
      <c r="AG285" s="3"/>
      <c r="AH285" s="3"/>
      <c r="AI285" s="8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22"/>
      <c r="AU285" s="22"/>
      <c r="AV285" s="22"/>
      <c r="AW285" s="22"/>
      <c r="AX285" s="8"/>
      <c r="AY285" s="3"/>
      <c r="AZ285" s="3"/>
      <c r="BA285" s="8"/>
    </row>
    <row x14ac:dyDescent="0.25" r="286" customHeight="1" ht="14.4">
      <c r="A286" s="440"/>
      <c r="B286" s="3"/>
      <c r="C286" s="3"/>
      <c r="D286" s="440"/>
      <c r="E286" s="8"/>
      <c r="F286" s="3"/>
      <c r="G286" s="3"/>
      <c r="H286" s="3"/>
      <c r="I286" s="8"/>
      <c r="J286" s="3"/>
      <c r="K286" s="3"/>
      <c r="L286" s="3"/>
      <c r="M286" s="3"/>
      <c r="N286" s="3"/>
      <c r="O286" s="3"/>
      <c r="P286" s="3"/>
      <c r="Q286" s="637"/>
      <c r="R286" s="3"/>
      <c r="S286" s="65"/>
      <c r="T286" s="3"/>
      <c r="U286" s="3"/>
      <c r="V286" s="3"/>
      <c r="W286" s="31"/>
      <c r="X286" s="3"/>
      <c r="Y286" s="3"/>
      <c r="Z286" s="3"/>
      <c r="AA286" s="637"/>
      <c r="AB286" s="8"/>
      <c r="AC286" s="637"/>
      <c r="AD286" s="8"/>
      <c r="AE286" s="637"/>
      <c r="AF286" s="3"/>
      <c r="AG286" s="3"/>
      <c r="AH286" s="3"/>
      <c r="AI286" s="8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22"/>
      <c r="AU286" s="22"/>
      <c r="AV286" s="22"/>
      <c r="AW286" s="22"/>
      <c r="AX286" s="8"/>
      <c r="AY286" s="3"/>
      <c r="AZ286" s="3"/>
      <c r="BA286" s="8"/>
    </row>
    <row x14ac:dyDescent="0.25" r="287" customHeight="1" ht="14.4">
      <c r="A287" s="440"/>
      <c r="B287" s="3"/>
      <c r="C287" s="3"/>
      <c r="D287" s="440"/>
      <c r="E287" s="8"/>
      <c r="F287" s="3"/>
      <c r="G287" s="3"/>
      <c r="H287" s="3"/>
      <c r="I287" s="8"/>
      <c r="J287" s="3"/>
      <c r="K287" s="3"/>
      <c r="L287" s="3"/>
      <c r="M287" s="3"/>
      <c r="N287" s="3"/>
      <c r="O287" s="3"/>
      <c r="P287" s="3"/>
      <c r="Q287" s="637"/>
      <c r="R287" s="3"/>
      <c r="S287" s="65"/>
      <c r="T287" s="3"/>
      <c r="U287" s="3"/>
      <c r="V287" s="3"/>
      <c r="W287" s="31"/>
      <c r="X287" s="3"/>
      <c r="Y287" s="3"/>
      <c r="Z287" s="3"/>
      <c r="AA287" s="637"/>
      <c r="AB287" s="8"/>
      <c r="AC287" s="637"/>
      <c r="AD287" s="8"/>
      <c r="AE287" s="637"/>
      <c r="AF287" s="3"/>
      <c r="AG287" s="3"/>
      <c r="AH287" s="3"/>
      <c r="AI287" s="8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22"/>
      <c r="AU287" s="22"/>
      <c r="AV287" s="22"/>
      <c r="AW287" s="22"/>
      <c r="AX287" s="8"/>
      <c r="AY287" s="3"/>
      <c r="AZ287" s="3"/>
      <c r="BA287" s="8"/>
    </row>
    <row x14ac:dyDescent="0.25" r="288" customHeight="1" ht="14.4">
      <c r="A288" s="440"/>
      <c r="B288" s="3"/>
      <c r="C288" s="3"/>
      <c r="D288" s="440"/>
      <c r="E288" s="8"/>
      <c r="F288" s="3"/>
      <c r="G288" s="3"/>
      <c r="H288" s="3"/>
      <c r="I288" s="8"/>
      <c r="J288" s="3"/>
      <c r="K288" s="3"/>
      <c r="L288" s="3"/>
      <c r="M288" s="3"/>
      <c r="N288" s="3"/>
      <c r="O288" s="3"/>
      <c r="P288" s="3"/>
      <c r="Q288" s="637"/>
      <c r="R288" s="3"/>
      <c r="S288" s="65"/>
      <c r="T288" s="3"/>
      <c r="U288" s="3"/>
      <c r="V288" s="3"/>
      <c r="W288" s="31"/>
      <c r="X288" s="3"/>
      <c r="Y288" s="3"/>
      <c r="Z288" s="3"/>
      <c r="AA288" s="637"/>
      <c r="AB288" s="8"/>
      <c r="AC288" s="637"/>
      <c r="AD288" s="8"/>
      <c r="AE288" s="637"/>
      <c r="AF288" s="3"/>
      <c r="AG288" s="3"/>
      <c r="AH288" s="3"/>
      <c r="AI288" s="8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22"/>
      <c r="AU288" s="22"/>
      <c r="AV288" s="22"/>
      <c r="AW288" s="22"/>
      <c r="AX288" s="8"/>
      <c r="AY288" s="3"/>
      <c r="AZ288" s="3"/>
      <c r="BA288" s="8"/>
    </row>
    <row x14ac:dyDescent="0.25" r="289" customHeight="1" ht="14.4">
      <c r="A289" s="440"/>
      <c r="B289" s="3"/>
      <c r="C289" s="3"/>
      <c r="D289" s="440"/>
      <c r="E289" s="8"/>
      <c r="F289" s="3"/>
      <c r="G289" s="3"/>
      <c r="H289" s="3"/>
      <c r="I289" s="8"/>
      <c r="J289" s="3"/>
      <c r="K289" s="3"/>
      <c r="L289" s="3"/>
      <c r="M289" s="3"/>
      <c r="N289" s="3"/>
      <c r="O289" s="3"/>
      <c r="P289" s="3"/>
      <c r="Q289" s="637"/>
      <c r="R289" s="3"/>
      <c r="S289" s="65"/>
      <c r="T289" s="3"/>
      <c r="U289" s="3"/>
      <c r="V289" s="3"/>
      <c r="W289" s="31"/>
      <c r="X289" s="3"/>
      <c r="Y289" s="3"/>
      <c r="Z289" s="3"/>
      <c r="AA289" s="637"/>
      <c r="AB289" s="8"/>
      <c r="AC289" s="637"/>
      <c r="AD289" s="8"/>
      <c r="AE289" s="637"/>
      <c r="AF289" s="3"/>
      <c r="AG289" s="3"/>
      <c r="AH289" s="3"/>
      <c r="AI289" s="8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22"/>
      <c r="AU289" s="22"/>
      <c r="AV289" s="22"/>
      <c r="AW289" s="22"/>
      <c r="AX289" s="8"/>
      <c r="AY289" s="3"/>
      <c r="AZ289" s="3"/>
      <c r="BA289" s="8"/>
    </row>
    <row x14ac:dyDescent="0.25" r="290" customHeight="1" ht="14.4">
      <c r="A290" s="440"/>
      <c r="B290" s="3"/>
      <c r="C290" s="3"/>
      <c r="D290" s="440"/>
      <c r="E290" s="8"/>
      <c r="F290" s="3"/>
      <c r="G290" s="3"/>
      <c r="H290" s="3"/>
      <c r="I290" s="8"/>
      <c r="J290" s="3"/>
      <c r="K290" s="3"/>
      <c r="L290" s="3"/>
      <c r="M290" s="3"/>
      <c r="N290" s="3"/>
      <c r="O290" s="3"/>
      <c r="P290" s="3"/>
      <c r="Q290" s="637"/>
      <c r="R290" s="3"/>
      <c r="S290" s="65"/>
      <c r="T290" s="3"/>
      <c r="U290" s="3"/>
      <c r="V290" s="3"/>
      <c r="W290" s="31"/>
      <c r="X290" s="3"/>
      <c r="Y290" s="3"/>
      <c r="Z290" s="3"/>
      <c r="AA290" s="637"/>
      <c r="AB290" s="8"/>
      <c r="AC290" s="637"/>
      <c r="AD290" s="8"/>
      <c r="AE290" s="637"/>
      <c r="AF290" s="3"/>
      <c r="AG290" s="3"/>
      <c r="AH290" s="3"/>
      <c r="AI290" s="8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22"/>
      <c r="AU290" s="22"/>
      <c r="AV290" s="22"/>
      <c r="AW290" s="22"/>
      <c r="AX290" s="8"/>
      <c r="AY290" s="3"/>
      <c r="AZ290" s="3"/>
      <c r="BA290" s="8"/>
    </row>
    <row x14ac:dyDescent="0.25" r="291" customHeight="1" ht="14.4">
      <c r="A291" s="440"/>
      <c r="B291" s="3"/>
      <c r="C291" s="3"/>
      <c r="D291" s="440"/>
      <c r="E291" s="8"/>
      <c r="F291" s="3"/>
      <c r="G291" s="3"/>
      <c r="H291" s="3"/>
      <c r="I291" s="8"/>
      <c r="J291" s="3"/>
      <c r="K291" s="3"/>
      <c r="L291" s="3"/>
      <c r="M291" s="3"/>
      <c r="N291" s="3"/>
      <c r="O291" s="3"/>
      <c r="P291" s="3"/>
      <c r="Q291" s="637"/>
      <c r="R291" s="3"/>
      <c r="S291" s="65"/>
      <c r="T291" s="3"/>
      <c r="U291" s="3"/>
      <c r="V291" s="3"/>
      <c r="W291" s="31"/>
      <c r="X291" s="3"/>
      <c r="Y291" s="3"/>
      <c r="Z291" s="3"/>
      <c r="AA291" s="637"/>
      <c r="AB291" s="8"/>
      <c r="AC291" s="637"/>
      <c r="AD291" s="8"/>
      <c r="AE291" s="637"/>
      <c r="AF291" s="3"/>
      <c r="AG291" s="3"/>
      <c r="AH291" s="3"/>
      <c r="AI291" s="8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22"/>
      <c r="AU291" s="22"/>
      <c r="AV291" s="22"/>
      <c r="AW291" s="22"/>
      <c r="AX291" s="8"/>
      <c r="AY291" s="3"/>
      <c r="AZ291" s="3"/>
      <c r="BA291" s="8"/>
    </row>
    <row x14ac:dyDescent="0.25" r="292" customHeight="1" ht="14.4">
      <c r="A292" s="440"/>
      <c r="B292" s="3"/>
      <c r="C292" s="3"/>
      <c r="D292" s="440"/>
      <c r="E292" s="8"/>
      <c r="F292" s="3"/>
      <c r="G292" s="3"/>
      <c r="H292" s="3"/>
      <c r="I292" s="8"/>
      <c r="J292" s="3"/>
      <c r="K292" s="3"/>
      <c r="L292" s="3"/>
      <c r="M292" s="3"/>
      <c r="N292" s="3"/>
      <c r="O292" s="3"/>
      <c r="P292" s="3"/>
      <c r="Q292" s="637"/>
      <c r="R292" s="3"/>
      <c r="S292" s="65"/>
      <c r="T292" s="3"/>
      <c r="U292" s="3"/>
      <c r="V292" s="3"/>
      <c r="W292" s="31"/>
      <c r="X292" s="3"/>
      <c r="Y292" s="3"/>
      <c r="Z292" s="3"/>
      <c r="AA292" s="637"/>
      <c r="AB292" s="8"/>
      <c r="AC292" s="637"/>
      <c r="AD292" s="8"/>
      <c r="AE292" s="637"/>
      <c r="AF292" s="3"/>
      <c r="AG292" s="3"/>
      <c r="AH292" s="3"/>
      <c r="AI292" s="8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22"/>
      <c r="AU292" s="22"/>
      <c r="AV292" s="22"/>
      <c r="AW292" s="22"/>
      <c r="AX292" s="8"/>
      <c r="AY292" s="3"/>
      <c r="AZ292" s="3"/>
      <c r="BA292" s="8"/>
    </row>
    <row x14ac:dyDescent="0.25" r="293" customHeight="1" ht="14.4">
      <c r="A293" s="440"/>
      <c r="B293" s="3"/>
      <c r="C293" s="3"/>
      <c r="D293" s="440"/>
      <c r="E293" s="8"/>
      <c r="F293" s="3"/>
      <c r="G293" s="3"/>
      <c r="H293" s="3"/>
      <c r="I293" s="8"/>
      <c r="J293" s="3"/>
      <c r="K293" s="3"/>
      <c r="L293" s="3"/>
      <c r="M293" s="3"/>
      <c r="N293" s="3"/>
      <c r="O293" s="3"/>
      <c r="P293" s="3"/>
      <c r="Q293" s="637"/>
      <c r="R293" s="3"/>
      <c r="S293" s="65"/>
      <c r="T293" s="3"/>
      <c r="U293" s="3"/>
      <c r="V293" s="3"/>
      <c r="W293" s="31"/>
      <c r="X293" s="3"/>
      <c r="Y293" s="3"/>
      <c r="Z293" s="3"/>
      <c r="AA293" s="637"/>
      <c r="AB293" s="8"/>
      <c r="AC293" s="637"/>
      <c r="AD293" s="8"/>
      <c r="AE293" s="637"/>
      <c r="AF293" s="3"/>
      <c r="AG293" s="3"/>
      <c r="AH293" s="3"/>
      <c r="AI293" s="8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22"/>
      <c r="AU293" s="22"/>
      <c r="AV293" s="22"/>
      <c r="AW293" s="22"/>
      <c r="AX293" s="8"/>
      <c r="AY293" s="3"/>
      <c r="AZ293" s="3"/>
      <c r="BA293" s="8"/>
    </row>
    <row x14ac:dyDescent="0.25" r="294" customHeight="1" ht="14.4">
      <c r="A294" s="440"/>
      <c r="B294" s="3"/>
      <c r="C294" s="3"/>
      <c r="D294" s="440"/>
      <c r="E294" s="8"/>
      <c r="F294" s="3"/>
      <c r="G294" s="3"/>
      <c r="H294" s="3"/>
      <c r="I294" s="8"/>
      <c r="J294" s="3"/>
      <c r="K294" s="3"/>
      <c r="L294" s="3"/>
      <c r="M294" s="3"/>
      <c r="N294" s="3"/>
      <c r="O294" s="3"/>
      <c r="P294" s="3"/>
      <c r="Q294" s="637"/>
      <c r="R294" s="3"/>
      <c r="S294" s="65"/>
      <c r="T294" s="3"/>
      <c r="U294" s="3"/>
      <c r="V294" s="3"/>
      <c r="W294" s="31"/>
      <c r="X294" s="3"/>
      <c r="Y294" s="3"/>
      <c r="Z294" s="3"/>
      <c r="AA294" s="637"/>
      <c r="AB294" s="8"/>
      <c r="AC294" s="637"/>
      <c r="AD294" s="8"/>
      <c r="AE294" s="637"/>
      <c r="AF294" s="3"/>
      <c r="AG294" s="3"/>
      <c r="AH294" s="3"/>
      <c r="AI294" s="8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22"/>
      <c r="AU294" s="22"/>
      <c r="AV294" s="22"/>
      <c r="AW294" s="22"/>
      <c r="AX294" s="8"/>
      <c r="AY294" s="3"/>
      <c r="AZ294" s="3"/>
      <c r="BA294" s="8"/>
    </row>
    <row x14ac:dyDescent="0.25" r="295" customHeight="1" ht="14.4">
      <c r="A295" s="440"/>
      <c r="B295" s="3"/>
      <c r="C295" s="3"/>
      <c r="D295" s="440"/>
      <c r="E295" s="8"/>
      <c r="F295" s="3"/>
      <c r="G295" s="3"/>
      <c r="H295" s="3"/>
      <c r="I295" s="8"/>
      <c r="J295" s="3"/>
      <c r="K295" s="3"/>
      <c r="L295" s="3"/>
      <c r="M295" s="3"/>
      <c r="N295" s="3"/>
      <c r="O295" s="3"/>
      <c r="P295" s="3"/>
      <c r="Q295" s="637"/>
      <c r="R295" s="3"/>
      <c r="S295" s="65"/>
      <c r="T295" s="3"/>
      <c r="U295" s="3"/>
      <c r="V295" s="3"/>
      <c r="W295" s="31"/>
      <c r="X295" s="3"/>
      <c r="Y295" s="3"/>
      <c r="Z295" s="3"/>
      <c r="AA295" s="637"/>
      <c r="AB295" s="8"/>
      <c r="AC295" s="637"/>
      <c r="AD295" s="8"/>
      <c r="AE295" s="637"/>
      <c r="AF295" s="3"/>
      <c r="AG295" s="3"/>
      <c r="AH295" s="3"/>
      <c r="AI295" s="8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22"/>
      <c r="AU295" s="22"/>
      <c r="AV295" s="22"/>
      <c r="AW295" s="22"/>
      <c r="AX295" s="8"/>
      <c r="AY295" s="3"/>
      <c r="AZ295" s="3"/>
      <c r="BA295" s="8"/>
    </row>
    <row x14ac:dyDescent="0.25" r="296" customHeight="1" ht="14.4">
      <c r="A296" s="440"/>
      <c r="B296" s="3"/>
      <c r="C296" s="3"/>
      <c r="D296" s="440"/>
      <c r="E296" s="8"/>
      <c r="F296" s="3"/>
      <c r="G296" s="3"/>
      <c r="H296" s="3"/>
      <c r="I296" s="8"/>
      <c r="J296" s="3"/>
      <c r="K296" s="3"/>
      <c r="L296" s="3"/>
      <c r="M296" s="3"/>
      <c r="N296" s="3"/>
      <c r="O296" s="3"/>
      <c r="P296" s="3"/>
      <c r="Q296" s="637"/>
      <c r="R296" s="3"/>
      <c r="S296" s="65"/>
      <c r="T296" s="3"/>
      <c r="U296" s="3"/>
      <c r="V296" s="3"/>
      <c r="W296" s="31"/>
      <c r="X296" s="3"/>
      <c r="Y296" s="3"/>
      <c r="Z296" s="3"/>
      <c r="AA296" s="637"/>
      <c r="AB296" s="8"/>
      <c r="AC296" s="637"/>
      <c r="AD296" s="8"/>
      <c r="AE296" s="637"/>
      <c r="AF296" s="3"/>
      <c r="AG296" s="3"/>
      <c r="AH296" s="3"/>
      <c r="AI296" s="8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22"/>
      <c r="AU296" s="22"/>
      <c r="AV296" s="22"/>
      <c r="AW296" s="22"/>
      <c r="AX296" s="8"/>
      <c r="AY296" s="3"/>
      <c r="AZ296" s="3"/>
      <c r="BA296" s="8"/>
    </row>
    <row x14ac:dyDescent="0.25" r="297" customHeight="1" ht="14.4">
      <c r="A297" s="440"/>
      <c r="B297" s="3"/>
      <c r="C297" s="3"/>
      <c r="D297" s="440"/>
      <c r="E297" s="8"/>
      <c r="F297" s="3"/>
      <c r="G297" s="3"/>
      <c r="H297" s="3"/>
      <c r="I297" s="8"/>
      <c r="J297" s="3"/>
      <c r="K297" s="3"/>
      <c r="L297" s="3"/>
      <c r="M297" s="3"/>
      <c r="N297" s="3"/>
      <c r="O297" s="3"/>
      <c r="P297" s="3"/>
      <c r="Q297" s="637"/>
      <c r="R297" s="3"/>
      <c r="S297" s="65"/>
      <c r="T297" s="3"/>
      <c r="U297" s="3"/>
      <c r="V297" s="3"/>
      <c r="W297" s="31"/>
      <c r="X297" s="3"/>
      <c r="Y297" s="3"/>
      <c r="Z297" s="3"/>
      <c r="AA297" s="637"/>
      <c r="AB297" s="8"/>
      <c r="AC297" s="637"/>
      <c r="AD297" s="8"/>
      <c r="AE297" s="637"/>
      <c r="AF297" s="3"/>
      <c r="AG297" s="3"/>
      <c r="AH297" s="3"/>
      <c r="AI297" s="8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22"/>
      <c r="AU297" s="22"/>
      <c r="AV297" s="22"/>
      <c r="AW297" s="22"/>
      <c r="AX297" s="8"/>
      <c r="AY297" s="3"/>
      <c r="AZ297" s="3"/>
      <c r="BA297" s="8"/>
    </row>
    <row x14ac:dyDescent="0.25" r="298" customHeight="1" ht="14.4">
      <c r="A298" s="440"/>
      <c r="B298" s="3"/>
      <c r="C298" s="3"/>
      <c r="D298" s="440"/>
      <c r="E298" s="8"/>
      <c r="F298" s="3"/>
      <c r="G298" s="3"/>
      <c r="H298" s="3"/>
      <c r="I298" s="8"/>
      <c r="J298" s="3"/>
      <c r="K298" s="3"/>
      <c r="L298" s="3"/>
      <c r="M298" s="3"/>
      <c r="N298" s="3"/>
      <c r="O298" s="3"/>
      <c r="P298" s="3"/>
      <c r="Q298" s="637"/>
      <c r="R298" s="3"/>
      <c r="S298" s="65"/>
      <c r="T298" s="3"/>
      <c r="U298" s="3"/>
      <c r="V298" s="3"/>
      <c r="W298" s="31"/>
      <c r="X298" s="3"/>
      <c r="Y298" s="3"/>
      <c r="Z298" s="3"/>
      <c r="AA298" s="637"/>
      <c r="AB298" s="8"/>
      <c r="AC298" s="637"/>
      <c r="AD298" s="8"/>
      <c r="AE298" s="637"/>
      <c r="AF298" s="3"/>
      <c r="AG298" s="3"/>
      <c r="AH298" s="3"/>
      <c r="AI298" s="8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22"/>
      <c r="AU298" s="22"/>
      <c r="AV298" s="22"/>
      <c r="AW298" s="22"/>
      <c r="AX298" s="8"/>
      <c r="AY298" s="3"/>
      <c r="AZ298" s="3"/>
      <c r="BA298" s="8"/>
    </row>
    <row x14ac:dyDescent="0.25" r="299" customHeight="1" ht="14.4">
      <c r="A299" s="440"/>
      <c r="B299" s="3"/>
      <c r="C299" s="3"/>
      <c r="D299" s="440"/>
      <c r="E299" s="8"/>
      <c r="F299" s="3"/>
      <c r="G299" s="3"/>
      <c r="H299" s="3"/>
      <c r="I299" s="8"/>
      <c r="J299" s="3"/>
      <c r="K299" s="3"/>
      <c r="L299" s="3"/>
      <c r="M299" s="3"/>
      <c r="N299" s="3"/>
      <c r="O299" s="3"/>
      <c r="P299" s="3"/>
      <c r="Q299" s="637"/>
      <c r="R299" s="3"/>
      <c r="S299" s="65"/>
      <c r="T299" s="3"/>
      <c r="U299" s="3"/>
      <c r="V299" s="3"/>
      <c r="W299" s="31"/>
      <c r="X299" s="3"/>
      <c r="Y299" s="3"/>
      <c r="Z299" s="3"/>
      <c r="AA299" s="637"/>
      <c r="AB299" s="8"/>
      <c r="AC299" s="637"/>
      <c r="AD299" s="8"/>
      <c r="AE299" s="637"/>
      <c r="AF299" s="3"/>
      <c r="AG299" s="3"/>
      <c r="AH299" s="3"/>
      <c r="AI299" s="8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22"/>
      <c r="AU299" s="22"/>
      <c r="AV299" s="22"/>
      <c r="AW299" s="22"/>
      <c r="AX299" s="8"/>
      <c r="AY299" s="3"/>
      <c r="AZ299" s="3"/>
      <c r="BA299" s="8"/>
    </row>
    <row x14ac:dyDescent="0.25" r="300" customHeight="1" ht="14.4">
      <c r="A300" s="440"/>
      <c r="B300" s="3"/>
      <c r="C300" s="3"/>
      <c r="D300" s="440"/>
      <c r="E300" s="8"/>
      <c r="F300" s="3"/>
      <c r="G300" s="3"/>
      <c r="H300" s="3"/>
      <c r="I300" s="8"/>
      <c r="J300" s="3"/>
      <c r="K300" s="3"/>
      <c r="L300" s="3"/>
      <c r="M300" s="3"/>
      <c r="N300" s="3"/>
      <c r="O300" s="3"/>
      <c r="P300" s="3"/>
      <c r="Q300" s="637"/>
      <c r="R300" s="3"/>
      <c r="S300" s="65"/>
      <c r="T300" s="3"/>
      <c r="U300" s="3"/>
      <c r="V300" s="3"/>
      <c r="W300" s="31"/>
      <c r="X300" s="3"/>
      <c r="Y300" s="3"/>
      <c r="Z300" s="3"/>
      <c r="AA300" s="637"/>
      <c r="AB300" s="8"/>
      <c r="AC300" s="637"/>
      <c r="AD300" s="8"/>
      <c r="AE300" s="637"/>
      <c r="AF300" s="3"/>
      <c r="AG300" s="3"/>
      <c r="AH300" s="3"/>
      <c r="AI300" s="8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22"/>
      <c r="AU300" s="22"/>
      <c r="AV300" s="22"/>
      <c r="AW300" s="22"/>
      <c r="AX300" s="8"/>
      <c r="AY300" s="3"/>
      <c r="AZ300" s="3"/>
      <c r="BA300" s="8"/>
    </row>
    <row x14ac:dyDescent="0.25" r="301" customHeight="1" ht="14.4">
      <c r="A301" s="440"/>
      <c r="B301" s="3"/>
      <c r="C301" s="3"/>
      <c r="D301" s="440"/>
      <c r="E301" s="8"/>
      <c r="F301" s="3"/>
      <c r="G301" s="3"/>
      <c r="H301" s="3"/>
      <c r="I301" s="8"/>
      <c r="J301" s="3"/>
      <c r="K301" s="3"/>
      <c r="L301" s="3"/>
      <c r="M301" s="3"/>
      <c r="N301" s="3"/>
      <c r="O301" s="3"/>
      <c r="P301" s="3"/>
      <c r="Q301" s="637"/>
      <c r="R301" s="3"/>
      <c r="S301" s="65"/>
      <c r="T301" s="3"/>
      <c r="U301" s="3"/>
      <c r="V301" s="3"/>
      <c r="W301" s="31"/>
      <c r="X301" s="3"/>
      <c r="Y301" s="3"/>
      <c r="Z301" s="3"/>
      <c r="AA301" s="637"/>
      <c r="AB301" s="8"/>
      <c r="AC301" s="637"/>
      <c r="AD301" s="8"/>
      <c r="AE301" s="637"/>
      <c r="AF301" s="3"/>
      <c r="AG301" s="3"/>
      <c r="AH301" s="3"/>
      <c r="AI301" s="8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22"/>
      <c r="AU301" s="22"/>
      <c r="AV301" s="22"/>
      <c r="AW301" s="22"/>
      <c r="AX301" s="8"/>
      <c r="AY301" s="3"/>
      <c r="AZ301" s="3"/>
      <c r="BA301" s="8"/>
    </row>
    <row x14ac:dyDescent="0.25" r="302" customHeight="1" ht="14.4">
      <c r="A302" s="440"/>
      <c r="B302" s="3"/>
      <c r="C302" s="3"/>
      <c r="D302" s="440"/>
      <c r="E302" s="8"/>
      <c r="F302" s="3"/>
      <c r="G302" s="3"/>
      <c r="H302" s="3"/>
      <c r="I302" s="8"/>
      <c r="J302" s="3"/>
      <c r="K302" s="3"/>
      <c r="L302" s="3"/>
      <c r="M302" s="3"/>
      <c r="N302" s="3"/>
      <c r="O302" s="3"/>
      <c r="P302" s="3"/>
      <c r="Q302" s="637"/>
      <c r="R302" s="3"/>
      <c r="S302" s="65"/>
      <c r="T302" s="3"/>
      <c r="U302" s="3"/>
      <c r="V302" s="3"/>
      <c r="W302" s="31"/>
      <c r="X302" s="3"/>
      <c r="Y302" s="3"/>
      <c r="Z302" s="3"/>
      <c r="AA302" s="637"/>
      <c r="AB302" s="8"/>
      <c r="AC302" s="637"/>
      <c r="AD302" s="8"/>
      <c r="AE302" s="637"/>
      <c r="AF302" s="3"/>
      <c r="AG302" s="3"/>
      <c r="AH302" s="3"/>
      <c r="AI302" s="8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22"/>
      <c r="AU302" s="22"/>
      <c r="AV302" s="22"/>
      <c r="AW302" s="22"/>
      <c r="AX302" s="8"/>
      <c r="AY302" s="3"/>
      <c r="AZ302" s="3"/>
      <c r="BA302" s="8"/>
    </row>
    <row x14ac:dyDescent="0.25" r="303" customHeight="1" ht="14.4">
      <c r="A303" s="440"/>
      <c r="B303" s="3"/>
      <c r="C303" s="3"/>
      <c r="D303" s="440"/>
      <c r="E303" s="8"/>
      <c r="F303" s="3"/>
      <c r="G303" s="3"/>
      <c r="H303" s="3"/>
      <c r="I303" s="8"/>
      <c r="J303" s="3"/>
      <c r="K303" s="3"/>
      <c r="L303" s="3"/>
      <c r="M303" s="3"/>
      <c r="N303" s="3"/>
      <c r="O303" s="3"/>
      <c r="P303" s="3"/>
      <c r="Q303" s="637"/>
      <c r="R303" s="3"/>
      <c r="S303" s="65"/>
      <c r="T303" s="3"/>
      <c r="U303" s="3"/>
      <c r="V303" s="3"/>
      <c r="W303" s="31"/>
      <c r="X303" s="3"/>
      <c r="Y303" s="3"/>
      <c r="Z303" s="3"/>
      <c r="AA303" s="637"/>
      <c r="AB303" s="8"/>
      <c r="AC303" s="637"/>
      <c r="AD303" s="8"/>
      <c r="AE303" s="637"/>
      <c r="AF303" s="3"/>
      <c r="AG303" s="3"/>
      <c r="AH303" s="3"/>
      <c r="AI303" s="8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22"/>
      <c r="AU303" s="22"/>
      <c r="AV303" s="22"/>
      <c r="AW303" s="22"/>
      <c r="AX303" s="8"/>
      <c r="AY303" s="3"/>
      <c r="AZ303" s="3"/>
      <c r="BA303" s="8"/>
    </row>
    <row x14ac:dyDescent="0.25" r="304" customHeight="1" ht="14.4">
      <c r="A304" s="440"/>
      <c r="B304" s="3"/>
      <c r="C304" s="3"/>
      <c r="D304" s="440"/>
      <c r="E304" s="8"/>
      <c r="F304" s="3"/>
      <c r="G304" s="3"/>
      <c r="H304" s="3"/>
      <c r="I304" s="8"/>
      <c r="J304" s="3"/>
      <c r="K304" s="3"/>
      <c r="L304" s="3"/>
      <c r="M304" s="3"/>
      <c r="N304" s="3"/>
      <c r="O304" s="3"/>
      <c r="P304" s="3"/>
      <c r="Q304" s="637"/>
      <c r="R304" s="3"/>
      <c r="S304" s="65"/>
      <c r="T304" s="3"/>
      <c r="U304" s="3"/>
      <c r="V304" s="3"/>
      <c r="W304" s="31"/>
      <c r="X304" s="3"/>
      <c r="Y304" s="3"/>
      <c r="Z304" s="3"/>
      <c r="AA304" s="637"/>
      <c r="AB304" s="8"/>
      <c r="AC304" s="637"/>
      <c r="AD304" s="8"/>
      <c r="AE304" s="637"/>
      <c r="AF304" s="3"/>
      <c r="AG304" s="3"/>
      <c r="AH304" s="3"/>
      <c r="AI304" s="8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22"/>
      <c r="AU304" s="22"/>
      <c r="AV304" s="22"/>
      <c r="AW304" s="22"/>
      <c r="AX304" s="8"/>
      <c r="AY304" s="3"/>
      <c r="AZ304" s="3"/>
      <c r="BA304" s="8"/>
    </row>
    <row x14ac:dyDescent="0.25" r="305" customHeight="1" ht="14.4">
      <c r="A305" s="440"/>
      <c r="B305" s="3"/>
      <c r="C305" s="3"/>
      <c r="D305" s="440"/>
      <c r="E305" s="8"/>
      <c r="F305" s="3"/>
      <c r="G305" s="3"/>
      <c r="H305" s="3"/>
      <c r="I305" s="8"/>
      <c r="J305" s="3"/>
      <c r="K305" s="3"/>
      <c r="L305" s="3"/>
      <c r="M305" s="3"/>
      <c r="N305" s="3"/>
      <c r="O305" s="3"/>
      <c r="P305" s="3"/>
      <c r="Q305" s="637"/>
      <c r="R305" s="3"/>
      <c r="S305" s="65"/>
      <c r="T305" s="3"/>
      <c r="U305" s="3"/>
      <c r="V305" s="3"/>
      <c r="W305" s="31"/>
      <c r="X305" s="3"/>
      <c r="Y305" s="3"/>
      <c r="Z305" s="3"/>
      <c r="AA305" s="637"/>
      <c r="AB305" s="8"/>
      <c r="AC305" s="637"/>
      <c r="AD305" s="8"/>
      <c r="AE305" s="637"/>
      <c r="AF305" s="3"/>
      <c r="AG305" s="3"/>
      <c r="AH305" s="3"/>
      <c r="AI305" s="8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22"/>
      <c r="AU305" s="22"/>
      <c r="AV305" s="22"/>
      <c r="AW305" s="22"/>
      <c r="AX305" s="8"/>
      <c r="AY305" s="3"/>
      <c r="AZ305" s="3"/>
      <c r="BA305" s="8"/>
    </row>
    <row x14ac:dyDescent="0.25" r="306" customHeight="1" ht="14.4">
      <c r="A306" s="440"/>
      <c r="B306" s="3"/>
      <c r="C306" s="3"/>
      <c r="D306" s="440"/>
      <c r="E306" s="8"/>
      <c r="F306" s="3"/>
      <c r="G306" s="3"/>
      <c r="H306" s="3"/>
      <c r="I306" s="8"/>
      <c r="J306" s="3"/>
      <c r="K306" s="3"/>
      <c r="L306" s="3"/>
      <c r="M306" s="3"/>
      <c r="N306" s="3"/>
      <c r="O306" s="3"/>
      <c r="P306" s="3"/>
      <c r="Q306" s="637"/>
      <c r="R306" s="3"/>
      <c r="S306" s="65"/>
      <c r="T306" s="3"/>
      <c r="U306" s="3"/>
      <c r="V306" s="3"/>
      <c r="W306" s="31"/>
      <c r="X306" s="3"/>
      <c r="Y306" s="3"/>
      <c r="Z306" s="3"/>
      <c r="AA306" s="637"/>
      <c r="AB306" s="8"/>
      <c r="AC306" s="637"/>
      <c r="AD306" s="8"/>
      <c r="AE306" s="637"/>
      <c r="AF306" s="3"/>
      <c r="AG306" s="3"/>
      <c r="AH306" s="3"/>
      <c r="AI306" s="8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22"/>
      <c r="AU306" s="22"/>
      <c r="AV306" s="22"/>
      <c r="AW306" s="22"/>
      <c r="AX306" s="8"/>
      <c r="AY306" s="3"/>
      <c r="AZ306" s="3"/>
      <c r="BA306" s="8"/>
    </row>
    <row x14ac:dyDescent="0.25" r="307" customHeight="1" ht="14.4">
      <c r="A307" s="440"/>
      <c r="B307" s="3"/>
      <c r="C307" s="3"/>
      <c r="D307" s="440"/>
      <c r="E307" s="8"/>
      <c r="F307" s="3"/>
      <c r="G307" s="3"/>
      <c r="H307" s="3"/>
      <c r="I307" s="8"/>
      <c r="J307" s="3"/>
      <c r="K307" s="3"/>
      <c r="L307" s="3"/>
      <c r="M307" s="3"/>
      <c r="N307" s="3"/>
      <c r="O307" s="3"/>
      <c r="P307" s="3"/>
      <c r="Q307" s="637"/>
      <c r="R307" s="3"/>
      <c r="S307" s="65"/>
      <c r="T307" s="3"/>
      <c r="U307" s="3"/>
      <c r="V307" s="3"/>
      <c r="W307" s="31"/>
      <c r="X307" s="3"/>
      <c r="Y307" s="3"/>
      <c r="Z307" s="3"/>
      <c r="AA307" s="637"/>
      <c r="AB307" s="8"/>
      <c r="AC307" s="637"/>
      <c r="AD307" s="8"/>
      <c r="AE307" s="637"/>
      <c r="AF307" s="3"/>
      <c r="AG307" s="3"/>
      <c r="AH307" s="3"/>
      <c r="AI307" s="8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22"/>
      <c r="AU307" s="22"/>
      <c r="AV307" s="22"/>
      <c r="AW307" s="22"/>
      <c r="AX307" s="8"/>
      <c r="AY307" s="3"/>
      <c r="AZ307" s="3"/>
      <c r="BA307" s="8"/>
    </row>
    <row x14ac:dyDescent="0.25" r="308" customHeight="1" ht="14.4">
      <c r="A308" s="440"/>
      <c r="B308" s="3"/>
      <c r="C308" s="3"/>
      <c r="D308" s="440"/>
      <c r="E308" s="8"/>
      <c r="F308" s="3"/>
      <c r="G308" s="3"/>
      <c r="H308" s="3"/>
      <c r="I308" s="8"/>
      <c r="J308" s="3"/>
      <c r="K308" s="3"/>
      <c r="L308" s="3"/>
      <c r="M308" s="3"/>
      <c r="N308" s="3"/>
      <c r="O308" s="3"/>
      <c r="P308" s="3"/>
      <c r="Q308" s="637"/>
      <c r="R308" s="3"/>
      <c r="S308" s="65"/>
      <c r="T308" s="3"/>
      <c r="U308" s="3"/>
      <c r="V308" s="3"/>
      <c r="W308" s="31"/>
      <c r="X308" s="3"/>
      <c r="Y308" s="3"/>
      <c r="Z308" s="3"/>
      <c r="AA308" s="637"/>
      <c r="AB308" s="8"/>
      <c r="AC308" s="637"/>
      <c r="AD308" s="8"/>
      <c r="AE308" s="637"/>
      <c r="AF308" s="3"/>
      <c r="AG308" s="3"/>
      <c r="AH308" s="3"/>
      <c r="AI308" s="8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22"/>
      <c r="AU308" s="22"/>
      <c r="AV308" s="22"/>
      <c r="AW308" s="22"/>
      <c r="AX308" s="8"/>
      <c r="AY308" s="3"/>
      <c r="AZ308" s="3"/>
      <c r="BA308" s="8"/>
    </row>
    <row x14ac:dyDescent="0.25" r="309" customHeight="1" ht="14.4">
      <c r="A309" s="440"/>
      <c r="B309" s="3"/>
      <c r="C309" s="3"/>
      <c r="D309" s="440"/>
      <c r="E309" s="8"/>
      <c r="F309" s="3"/>
      <c r="G309" s="3"/>
      <c r="H309" s="3"/>
      <c r="I309" s="8"/>
      <c r="J309" s="3"/>
      <c r="K309" s="3"/>
      <c r="L309" s="3"/>
      <c r="M309" s="3"/>
      <c r="N309" s="3"/>
      <c r="O309" s="3"/>
      <c r="P309" s="3"/>
      <c r="Q309" s="637"/>
      <c r="R309" s="3"/>
      <c r="S309" s="65"/>
      <c r="T309" s="3"/>
      <c r="U309" s="3"/>
      <c r="V309" s="3"/>
      <c r="W309" s="31"/>
      <c r="X309" s="3"/>
      <c r="Y309" s="3"/>
      <c r="Z309" s="3"/>
      <c r="AA309" s="637"/>
      <c r="AB309" s="8"/>
      <c r="AC309" s="637"/>
      <c r="AD309" s="8"/>
      <c r="AE309" s="637"/>
      <c r="AF309" s="3"/>
      <c r="AG309" s="3"/>
      <c r="AH309" s="3"/>
      <c r="AI309" s="8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22"/>
      <c r="AU309" s="22"/>
      <c r="AV309" s="22"/>
      <c r="AW309" s="22"/>
      <c r="AX309" s="8"/>
      <c r="AY309" s="3"/>
      <c r="AZ309" s="3"/>
      <c r="BA309" s="8"/>
    </row>
    <row x14ac:dyDescent="0.25" r="310" customHeight="1" ht="14.4">
      <c r="A310" s="440"/>
      <c r="B310" s="3"/>
      <c r="C310" s="3"/>
      <c r="D310" s="440"/>
      <c r="E310" s="8"/>
      <c r="F310" s="3"/>
      <c r="G310" s="3"/>
      <c r="H310" s="3"/>
      <c r="I310" s="8"/>
      <c r="J310" s="3"/>
      <c r="K310" s="3"/>
      <c r="L310" s="3"/>
      <c r="M310" s="3"/>
      <c r="N310" s="3"/>
      <c r="O310" s="3"/>
      <c r="P310" s="3"/>
      <c r="Q310" s="637"/>
      <c r="R310" s="3"/>
      <c r="S310" s="65"/>
      <c r="T310" s="3"/>
      <c r="U310" s="3"/>
      <c r="V310" s="3"/>
      <c r="W310" s="31"/>
      <c r="X310" s="3"/>
      <c r="Y310" s="3"/>
      <c r="Z310" s="3"/>
      <c r="AA310" s="637"/>
      <c r="AB310" s="8"/>
      <c r="AC310" s="637"/>
      <c r="AD310" s="8"/>
      <c r="AE310" s="637"/>
      <c r="AF310" s="3"/>
      <c r="AG310" s="3"/>
      <c r="AH310" s="3"/>
      <c r="AI310" s="8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22"/>
      <c r="AU310" s="22"/>
      <c r="AV310" s="22"/>
      <c r="AW310" s="22"/>
      <c r="AX310" s="8"/>
      <c r="AY310" s="3"/>
      <c r="AZ310" s="3"/>
      <c r="BA310" s="8"/>
    </row>
    <row x14ac:dyDescent="0.25" r="311" customHeight="1" ht="14.4">
      <c r="A311" s="440"/>
      <c r="B311" s="3"/>
      <c r="C311" s="3"/>
      <c r="D311" s="440"/>
      <c r="E311" s="8"/>
      <c r="F311" s="3"/>
      <c r="G311" s="3"/>
      <c r="H311" s="3"/>
      <c r="I311" s="8"/>
      <c r="J311" s="3"/>
      <c r="K311" s="3"/>
      <c r="L311" s="3"/>
      <c r="M311" s="3"/>
      <c r="N311" s="3"/>
      <c r="O311" s="3"/>
      <c r="P311" s="3"/>
      <c r="Q311" s="637"/>
      <c r="R311" s="3"/>
      <c r="S311" s="65"/>
      <c r="T311" s="3"/>
      <c r="U311" s="3"/>
      <c r="V311" s="3"/>
      <c r="W311" s="31"/>
      <c r="X311" s="3"/>
      <c r="Y311" s="3"/>
      <c r="Z311" s="3"/>
      <c r="AA311" s="637"/>
      <c r="AB311" s="8"/>
      <c r="AC311" s="637"/>
      <c r="AD311" s="8"/>
      <c r="AE311" s="637"/>
      <c r="AF311" s="3"/>
      <c r="AG311" s="3"/>
      <c r="AH311" s="3"/>
      <c r="AI311" s="8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22"/>
      <c r="AU311" s="22"/>
      <c r="AV311" s="22"/>
      <c r="AW311" s="22"/>
      <c r="AX311" s="8"/>
      <c r="AY311" s="3"/>
      <c r="AZ311" s="3"/>
      <c r="BA311" s="8"/>
    </row>
    <row x14ac:dyDescent="0.25" r="312" customHeight="1" ht="14.4">
      <c r="A312" s="440"/>
      <c r="B312" s="3"/>
      <c r="C312" s="3"/>
      <c r="D312" s="440"/>
      <c r="E312" s="8"/>
      <c r="F312" s="3"/>
      <c r="G312" s="3"/>
      <c r="H312" s="3"/>
      <c r="I312" s="8"/>
      <c r="J312" s="3"/>
      <c r="K312" s="3"/>
      <c r="L312" s="3"/>
      <c r="M312" s="3"/>
      <c r="N312" s="3"/>
      <c r="O312" s="3"/>
      <c r="P312" s="3"/>
      <c r="Q312" s="637"/>
      <c r="R312" s="3"/>
      <c r="S312" s="65"/>
      <c r="T312" s="3"/>
      <c r="U312" s="3"/>
      <c r="V312" s="3"/>
      <c r="W312" s="31"/>
      <c r="X312" s="3"/>
      <c r="Y312" s="3"/>
      <c r="Z312" s="3"/>
      <c r="AA312" s="637"/>
      <c r="AB312" s="8"/>
      <c r="AC312" s="637"/>
      <c r="AD312" s="8"/>
      <c r="AE312" s="637"/>
      <c r="AF312" s="3"/>
      <c r="AG312" s="3"/>
      <c r="AH312" s="3"/>
      <c r="AI312" s="8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22"/>
      <c r="AU312" s="22"/>
      <c r="AV312" s="22"/>
      <c r="AW312" s="22"/>
      <c r="AX312" s="8"/>
      <c r="AY312" s="3"/>
      <c r="AZ312" s="3"/>
      <c r="BA312" s="8"/>
    </row>
    <row x14ac:dyDescent="0.25" r="313" customHeight="1" ht="14.4">
      <c r="A313" s="440"/>
      <c r="B313" s="3"/>
      <c r="C313" s="3"/>
      <c r="D313" s="440"/>
      <c r="E313" s="8"/>
      <c r="F313" s="3"/>
      <c r="G313" s="3"/>
      <c r="H313" s="3"/>
      <c r="I313" s="8"/>
      <c r="J313" s="3"/>
      <c r="K313" s="3"/>
      <c r="L313" s="3"/>
      <c r="M313" s="3"/>
      <c r="N313" s="3"/>
      <c r="O313" s="3"/>
      <c r="P313" s="3"/>
      <c r="Q313" s="637"/>
      <c r="R313" s="3"/>
      <c r="S313" s="65"/>
      <c r="T313" s="3"/>
      <c r="U313" s="3"/>
      <c r="V313" s="3"/>
      <c r="W313" s="31"/>
      <c r="X313" s="3"/>
      <c r="Y313" s="3"/>
      <c r="Z313" s="3"/>
      <c r="AA313" s="637"/>
      <c r="AB313" s="8"/>
      <c r="AC313" s="637"/>
      <c r="AD313" s="8"/>
      <c r="AE313" s="637"/>
      <c r="AF313" s="3"/>
      <c r="AG313" s="3"/>
      <c r="AH313" s="3"/>
      <c r="AI313" s="8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22"/>
      <c r="AU313" s="22"/>
      <c r="AV313" s="22"/>
      <c r="AW313" s="22"/>
      <c r="AX313" s="8"/>
      <c r="AY313" s="3"/>
      <c r="AZ313" s="3"/>
      <c r="BA313" s="8"/>
    </row>
    <row x14ac:dyDescent="0.25" r="314" customHeight="1" ht="14.4">
      <c r="A314" s="440"/>
      <c r="B314" s="3"/>
      <c r="C314" s="3"/>
      <c r="D314" s="440"/>
      <c r="E314" s="8"/>
      <c r="F314" s="3"/>
      <c r="G314" s="3"/>
      <c r="H314" s="3"/>
      <c r="I314" s="8"/>
      <c r="J314" s="3"/>
      <c r="K314" s="3"/>
      <c r="L314" s="3"/>
      <c r="M314" s="3"/>
      <c r="N314" s="3"/>
      <c r="O314" s="3"/>
      <c r="P314" s="3"/>
      <c r="Q314" s="637"/>
      <c r="R314" s="3"/>
      <c r="S314" s="65"/>
      <c r="T314" s="3"/>
      <c r="U314" s="3"/>
      <c r="V314" s="3"/>
      <c r="W314" s="31"/>
      <c r="X314" s="3"/>
      <c r="Y314" s="3"/>
      <c r="Z314" s="3"/>
      <c r="AA314" s="637"/>
      <c r="AB314" s="8"/>
      <c r="AC314" s="637"/>
      <c r="AD314" s="8"/>
      <c r="AE314" s="637"/>
      <c r="AF314" s="3"/>
      <c r="AG314" s="3"/>
      <c r="AH314" s="3"/>
      <c r="AI314" s="8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22"/>
      <c r="AU314" s="22"/>
      <c r="AV314" s="22"/>
      <c r="AW314" s="22"/>
      <c r="AX314" s="8"/>
      <c r="AY314" s="3"/>
      <c r="AZ314" s="3"/>
      <c r="BA314" s="8"/>
    </row>
    <row x14ac:dyDescent="0.25" r="315" customHeight="1" ht="14.4">
      <c r="A315" s="440"/>
      <c r="B315" s="3"/>
      <c r="C315" s="3"/>
      <c r="D315" s="440"/>
      <c r="E315" s="8"/>
      <c r="F315" s="3"/>
      <c r="G315" s="3"/>
      <c r="H315" s="3"/>
      <c r="I315" s="8"/>
      <c r="J315" s="3"/>
      <c r="K315" s="3"/>
      <c r="L315" s="3"/>
      <c r="M315" s="3"/>
      <c r="N315" s="3"/>
      <c r="O315" s="3"/>
      <c r="P315" s="3"/>
      <c r="Q315" s="637"/>
      <c r="R315" s="3"/>
      <c r="S315" s="65"/>
      <c r="T315" s="3"/>
      <c r="U315" s="3"/>
      <c r="V315" s="3"/>
      <c r="W315" s="31"/>
      <c r="X315" s="3"/>
      <c r="Y315" s="3"/>
      <c r="Z315" s="3"/>
      <c r="AA315" s="637"/>
      <c r="AB315" s="8"/>
      <c r="AC315" s="637"/>
      <c r="AD315" s="8"/>
      <c r="AE315" s="637"/>
      <c r="AF315" s="3"/>
      <c r="AG315" s="3"/>
      <c r="AH315" s="3"/>
      <c r="AI315" s="8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22"/>
      <c r="AU315" s="22"/>
      <c r="AV315" s="22"/>
      <c r="AW315" s="22"/>
      <c r="AX315" s="8"/>
      <c r="AY315" s="3"/>
      <c r="AZ315" s="3"/>
      <c r="BA315" s="8"/>
    </row>
    <row x14ac:dyDescent="0.25" r="316" customHeight="1" ht="14.4">
      <c r="A316" s="440"/>
      <c r="B316" s="3"/>
      <c r="C316" s="3"/>
      <c r="D316" s="440"/>
      <c r="E316" s="8"/>
      <c r="F316" s="3"/>
      <c r="G316" s="3"/>
      <c r="H316" s="3"/>
      <c r="I316" s="8"/>
      <c r="J316" s="3"/>
      <c r="K316" s="3"/>
      <c r="L316" s="3"/>
      <c r="M316" s="3"/>
      <c r="N316" s="3"/>
      <c r="O316" s="3"/>
      <c r="P316" s="3"/>
      <c r="Q316" s="637"/>
      <c r="R316" s="3"/>
      <c r="S316" s="65"/>
      <c r="T316" s="3"/>
      <c r="U316" s="3"/>
      <c r="V316" s="3"/>
      <c r="W316" s="31"/>
      <c r="X316" s="3"/>
      <c r="Y316" s="3"/>
      <c r="Z316" s="3"/>
      <c r="AA316" s="637"/>
      <c r="AB316" s="8"/>
      <c r="AC316" s="637"/>
      <c r="AD316" s="8"/>
      <c r="AE316" s="637"/>
      <c r="AF316" s="3"/>
      <c r="AG316" s="3"/>
      <c r="AH316" s="3"/>
      <c r="AI316" s="8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22"/>
      <c r="AU316" s="22"/>
      <c r="AV316" s="22"/>
      <c r="AW316" s="22"/>
      <c r="AX316" s="8"/>
      <c r="AY316" s="3"/>
      <c r="AZ316" s="3"/>
      <c r="BA316" s="8"/>
    </row>
    <row x14ac:dyDescent="0.25" r="317" customHeight="1" ht="14.4">
      <c r="A317" s="440"/>
      <c r="B317" s="3"/>
      <c r="C317" s="3"/>
      <c r="D317" s="440"/>
      <c r="E317" s="8"/>
      <c r="F317" s="3"/>
      <c r="G317" s="3"/>
      <c r="H317" s="3"/>
      <c r="I317" s="8"/>
      <c r="J317" s="3"/>
      <c r="K317" s="3"/>
      <c r="L317" s="3"/>
      <c r="M317" s="3"/>
      <c r="N317" s="3"/>
      <c r="O317" s="3"/>
      <c r="P317" s="3"/>
      <c r="Q317" s="637"/>
      <c r="R317" s="3"/>
      <c r="S317" s="65"/>
      <c r="T317" s="3"/>
      <c r="U317" s="3"/>
      <c r="V317" s="3"/>
      <c r="W317" s="31"/>
      <c r="X317" s="3"/>
      <c r="Y317" s="3"/>
      <c r="Z317" s="3"/>
      <c r="AA317" s="637"/>
      <c r="AB317" s="8"/>
      <c r="AC317" s="637"/>
      <c r="AD317" s="8"/>
      <c r="AE317" s="637"/>
      <c r="AF317" s="3"/>
      <c r="AG317" s="3"/>
      <c r="AH317" s="3"/>
      <c r="AI317" s="8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22"/>
      <c r="AU317" s="22"/>
      <c r="AV317" s="22"/>
      <c r="AW317" s="22"/>
      <c r="AX317" s="8"/>
      <c r="AY317" s="3"/>
      <c r="AZ317" s="3"/>
      <c r="BA317" s="8"/>
    </row>
    <row x14ac:dyDescent="0.25" r="318" customHeight="1" ht="14.4">
      <c r="A318" s="440"/>
      <c r="B318" s="3"/>
      <c r="C318" s="3"/>
      <c r="D318" s="440"/>
      <c r="E318" s="8"/>
      <c r="F318" s="3"/>
      <c r="G318" s="3"/>
      <c r="H318" s="3"/>
      <c r="I318" s="8"/>
      <c r="J318" s="3"/>
      <c r="K318" s="3"/>
      <c r="L318" s="3"/>
      <c r="M318" s="3"/>
      <c r="N318" s="3"/>
      <c r="O318" s="3"/>
      <c r="P318" s="3"/>
      <c r="Q318" s="637"/>
      <c r="R318" s="3"/>
      <c r="S318" s="65"/>
      <c r="T318" s="3"/>
      <c r="U318" s="3"/>
      <c r="V318" s="3"/>
      <c r="W318" s="31"/>
      <c r="X318" s="3"/>
      <c r="Y318" s="3"/>
      <c r="Z318" s="3"/>
      <c r="AA318" s="637"/>
      <c r="AB318" s="8"/>
      <c r="AC318" s="637"/>
      <c r="AD318" s="8"/>
      <c r="AE318" s="637"/>
      <c r="AF318" s="3"/>
      <c r="AG318" s="3"/>
      <c r="AH318" s="3"/>
      <c r="AI318" s="8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22"/>
      <c r="AU318" s="22"/>
      <c r="AV318" s="22"/>
      <c r="AW318" s="22"/>
      <c r="AX318" s="8"/>
      <c r="AY318" s="3"/>
      <c r="AZ318" s="3"/>
      <c r="BA318" s="8"/>
    </row>
    <row x14ac:dyDescent="0.25" r="319" customHeight="1" ht="14.4">
      <c r="A319" s="440"/>
      <c r="B319" s="3"/>
      <c r="C319" s="3"/>
      <c r="D319" s="440"/>
      <c r="E319" s="8"/>
      <c r="F319" s="3"/>
      <c r="G319" s="3"/>
      <c r="H319" s="3"/>
      <c r="I319" s="8"/>
      <c r="J319" s="3"/>
      <c r="K319" s="3"/>
      <c r="L319" s="3"/>
      <c r="M319" s="3"/>
      <c r="N319" s="3"/>
      <c r="O319" s="3"/>
      <c r="P319" s="3"/>
      <c r="Q319" s="637"/>
      <c r="R319" s="3"/>
      <c r="S319" s="65"/>
      <c r="T319" s="3"/>
      <c r="U319" s="3"/>
      <c r="V319" s="3"/>
      <c r="W319" s="31"/>
      <c r="X319" s="3"/>
      <c r="Y319" s="3"/>
      <c r="Z319" s="3"/>
      <c r="AA319" s="637"/>
      <c r="AB319" s="8"/>
      <c r="AC319" s="637"/>
      <c r="AD319" s="8"/>
      <c r="AE319" s="637"/>
      <c r="AF319" s="3"/>
      <c r="AG319" s="3"/>
      <c r="AH319" s="3"/>
      <c r="AI319" s="8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22"/>
      <c r="AU319" s="22"/>
      <c r="AV319" s="22"/>
      <c r="AW319" s="22"/>
      <c r="AX319" s="8"/>
      <c r="AY319" s="3"/>
      <c r="AZ319" s="3"/>
      <c r="BA319" s="8"/>
    </row>
    <row x14ac:dyDescent="0.25" r="320" customHeight="1" ht="14.4">
      <c r="A320" s="440"/>
      <c r="B320" s="3"/>
      <c r="C320" s="3"/>
      <c r="D320" s="440"/>
      <c r="E320" s="8"/>
      <c r="F320" s="3"/>
      <c r="G320" s="3"/>
      <c r="H320" s="3"/>
      <c r="I320" s="8"/>
      <c r="J320" s="3"/>
      <c r="K320" s="3"/>
      <c r="L320" s="3"/>
      <c r="M320" s="3"/>
      <c r="N320" s="3"/>
      <c r="O320" s="3"/>
      <c r="P320" s="3"/>
      <c r="Q320" s="637"/>
      <c r="R320" s="3"/>
      <c r="S320" s="65"/>
      <c r="T320" s="3"/>
      <c r="U320" s="3"/>
      <c r="V320" s="3"/>
      <c r="W320" s="31"/>
      <c r="X320" s="3"/>
      <c r="Y320" s="3"/>
      <c r="Z320" s="3"/>
      <c r="AA320" s="637"/>
      <c r="AB320" s="8"/>
      <c r="AC320" s="637"/>
      <c r="AD320" s="8"/>
      <c r="AE320" s="637"/>
      <c r="AF320" s="3"/>
      <c r="AG320" s="3"/>
      <c r="AH320" s="3"/>
      <c r="AI320" s="8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22"/>
      <c r="AU320" s="22"/>
      <c r="AV320" s="22"/>
      <c r="AW320" s="22"/>
      <c r="AX320" s="8"/>
      <c r="AY320" s="3"/>
      <c r="AZ320" s="3"/>
      <c r="BA320" s="8"/>
    </row>
    <row x14ac:dyDescent="0.25" r="321" customHeight="1" ht="14.4">
      <c r="A321" s="440"/>
      <c r="B321" s="3"/>
      <c r="C321" s="3"/>
      <c r="D321" s="440"/>
      <c r="E321" s="8"/>
      <c r="F321" s="3"/>
      <c r="G321" s="3"/>
      <c r="H321" s="3"/>
      <c r="I321" s="8"/>
      <c r="J321" s="3"/>
      <c r="K321" s="3"/>
      <c r="L321" s="3"/>
      <c r="M321" s="3"/>
      <c r="N321" s="3"/>
      <c r="O321" s="3"/>
      <c r="P321" s="3"/>
      <c r="Q321" s="637"/>
      <c r="R321" s="3"/>
      <c r="S321" s="65"/>
      <c r="T321" s="3"/>
      <c r="U321" s="3"/>
      <c r="V321" s="3"/>
      <c r="W321" s="31"/>
      <c r="X321" s="3"/>
      <c r="Y321" s="3"/>
      <c r="Z321" s="3"/>
      <c r="AA321" s="637"/>
      <c r="AB321" s="8"/>
      <c r="AC321" s="637"/>
      <c r="AD321" s="8"/>
      <c r="AE321" s="637"/>
      <c r="AF321" s="3"/>
      <c r="AG321" s="3"/>
      <c r="AH321" s="3"/>
      <c r="AI321" s="8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22"/>
      <c r="AU321" s="22"/>
      <c r="AV321" s="22"/>
      <c r="AW321" s="22"/>
      <c r="AX321" s="8"/>
      <c r="AY321" s="3"/>
      <c r="AZ321" s="3"/>
      <c r="BA321" s="8"/>
    </row>
    <row x14ac:dyDescent="0.25" r="322" customHeight="1" ht="14.4">
      <c r="A322" s="440"/>
      <c r="B322" s="3"/>
      <c r="C322" s="3"/>
      <c r="D322" s="440"/>
      <c r="E322" s="8"/>
      <c r="F322" s="3"/>
      <c r="G322" s="3"/>
      <c r="H322" s="3"/>
      <c r="I322" s="8"/>
      <c r="J322" s="3"/>
      <c r="K322" s="3"/>
      <c r="L322" s="3"/>
      <c r="M322" s="3"/>
      <c r="N322" s="3"/>
      <c r="O322" s="3"/>
      <c r="P322" s="3"/>
      <c r="Q322" s="637"/>
      <c r="R322" s="3"/>
      <c r="S322" s="65"/>
      <c r="T322" s="3"/>
      <c r="U322" s="3"/>
      <c r="V322" s="3"/>
      <c r="W322" s="31"/>
      <c r="X322" s="3"/>
      <c r="Y322" s="3"/>
      <c r="Z322" s="3"/>
      <c r="AA322" s="637"/>
      <c r="AB322" s="8"/>
      <c r="AC322" s="637"/>
      <c r="AD322" s="8"/>
      <c r="AE322" s="637"/>
      <c r="AF322" s="3"/>
      <c r="AG322" s="3"/>
      <c r="AH322" s="3"/>
      <c r="AI322" s="8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22"/>
      <c r="AU322" s="22"/>
      <c r="AV322" s="22"/>
      <c r="AW322" s="22"/>
      <c r="AX322" s="8"/>
      <c r="AY322" s="3"/>
      <c r="AZ322" s="3"/>
      <c r="BA322" s="8"/>
    </row>
    <row x14ac:dyDescent="0.25" r="323" customHeight="1" ht="14.4">
      <c r="A323" s="440"/>
      <c r="B323" s="3"/>
      <c r="C323" s="3"/>
      <c r="D323" s="440"/>
      <c r="E323" s="8"/>
      <c r="F323" s="3"/>
      <c r="G323" s="3"/>
      <c r="H323" s="3"/>
      <c r="I323" s="8"/>
      <c r="J323" s="3"/>
      <c r="K323" s="3"/>
      <c r="L323" s="3"/>
      <c r="M323" s="3"/>
      <c r="N323" s="3"/>
      <c r="O323" s="3"/>
      <c r="P323" s="3"/>
      <c r="Q323" s="637"/>
      <c r="R323" s="3"/>
      <c r="S323" s="65"/>
      <c r="T323" s="3"/>
      <c r="U323" s="3"/>
      <c r="V323" s="3"/>
      <c r="W323" s="31"/>
      <c r="X323" s="3"/>
      <c r="Y323" s="3"/>
      <c r="Z323" s="3"/>
      <c r="AA323" s="637"/>
      <c r="AB323" s="8"/>
      <c r="AC323" s="637"/>
      <c r="AD323" s="8"/>
      <c r="AE323" s="637"/>
      <c r="AF323" s="3"/>
      <c r="AG323" s="3"/>
      <c r="AH323" s="3"/>
      <c r="AI323" s="8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22"/>
      <c r="AU323" s="22"/>
      <c r="AV323" s="22"/>
      <c r="AW323" s="22"/>
      <c r="AX323" s="8"/>
      <c r="AY323" s="3"/>
      <c r="AZ323" s="3"/>
      <c r="BA323" s="8"/>
    </row>
    <row x14ac:dyDescent="0.25" r="324" customHeight="1" ht="14.4">
      <c r="A324" s="440"/>
      <c r="B324" s="3"/>
      <c r="C324" s="3"/>
      <c r="D324" s="440"/>
      <c r="E324" s="8"/>
      <c r="F324" s="3"/>
      <c r="G324" s="3"/>
      <c r="H324" s="3"/>
      <c r="I324" s="8"/>
      <c r="J324" s="3"/>
      <c r="K324" s="3"/>
      <c r="L324" s="3"/>
      <c r="M324" s="3"/>
      <c r="N324" s="3"/>
      <c r="O324" s="3"/>
      <c r="P324" s="3"/>
      <c r="Q324" s="637"/>
      <c r="R324" s="3"/>
      <c r="S324" s="65"/>
      <c r="T324" s="3"/>
      <c r="U324" s="3"/>
      <c r="V324" s="3"/>
      <c r="W324" s="31"/>
      <c r="X324" s="3"/>
      <c r="Y324" s="3"/>
      <c r="Z324" s="3"/>
      <c r="AA324" s="637"/>
      <c r="AB324" s="8"/>
      <c r="AC324" s="637"/>
      <c r="AD324" s="8"/>
      <c r="AE324" s="637"/>
      <c r="AF324" s="3"/>
      <c r="AG324" s="3"/>
      <c r="AH324" s="3"/>
      <c r="AI324" s="8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22"/>
      <c r="AU324" s="22"/>
      <c r="AV324" s="22"/>
      <c r="AW324" s="22"/>
      <c r="AX324" s="8"/>
      <c r="AY324" s="3"/>
      <c r="AZ324" s="3"/>
      <c r="BA324" s="8"/>
    </row>
    <row x14ac:dyDescent="0.25" r="325" customHeight="1" ht="14.4">
      <c r="A325" s="440"/>
      <c r="B325" s="3"/>
      <c r="C325" s="3"/>
      <c r="D325" s="440"/>
      <c r="E325" s="8"/>
      <c r="F325" s="3"/>
      <c r="G325" s="3"/>
      <c r="H325" s="3"/>
      <c r="I325" s="8"/>
      <c r="J325" s="3"/>
      <c r="K325" s="3"/>
      <c r="L325" s="3"/>
      <c r="M325" s="3"/>
      <c r="N325" s="3"/>
      <c r="O325" s="3"/>
      <c r="P325" s="3"/>
      <c r="Q325" s="637"/>
      <c r="R325" s="3"/>
      <c r="S325" s="8"/>
      <c r="T325" s="3"/>
      <c r="U325" s="3"/>
      <c r="V325" s="3"/>
      <c r="W325" s="31"/>
      <c r="X325" s="3"/>
      <c r="Y325" s="3"/>
      <c r="Z325" s="3"/>
      <c r="AA325" s="637"/>
      <c r="AB325" s="8"/>
      <c r="AC325" s="637"/>
      <c r="AD325" s="8"/>
      <c r="AE325" s="637"/>
      <c r="AF325" s="3"/>
      <c r="AG325" s="3"/>
      <c r="AH325" s="3"/>
      <c r="AI325" s="8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22"/>
      <c r="AU325" s="22"/>
      <c r="AV325" s="22"/>
      <c r="AW325" s="22"/>
      <c r="AX325" s="8"/>
      <c r="AY325" s="3"/>
      <c r="AZ325" s="3"/>
      <c r="BA325" s="8"/>
    </row>
    <row x14ac:dyDescent="0.25" r="326" customHeight="1" ht="14.4">
      <c r="A326" s="440"/>
      <c r="B326" s="3"/>
      <c r="C326" s="3"/>
      <c r="D326" s="440"/>
      <c r="E326" s="8"/>
      <c r="F326" s="3"/>
      <c r="G326" s="3"/>
      <c r="H326" s="3"/>
      <c r="I326" s="8"/>
      <c r="J326" s="3"/>
      <c r="K326" s="3"/>
      <c r="L326" s="3"/>
      <c r="M326" s="3"/>
      <c r="N326" s="3"/>
      <c r="O326" s="3"/>
      <c r="P326" s="3"/>
      <c r="Q326" s="637"/>
      <c r="R326" s="3"/>
      <c r="S326" s="8"/>
      <c r="T326" s="3"/>
      <c r="U326" s="3"/>
      <c r="V326" s="3"/>
      <c r="W326" s="31"/>
      <c r="X326" s="3"/>
      <c r="Y326" s="3"/>
      <c r="Z326" s="3"/>
      <c r="AA326" s="637"/>
      <c r="AB326" s="8"/>
      <c r="AC326" s="637"/>
      <c r="AD326" s="8"/>
      <c r="AE326" s="637"/>
      <c r="AF326" s="3"/>
      <c r="AG326" s="3"/>
      <c r="AH326" s="3"/>
      <c r="AI326" s="8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22"/>
      <c r="AU326" s="22"/>
      <c r="AV326" s="22"/>
      <c r="AW326" s="22"/>
      <c r="AX326" s="8"/>
      <c r="AY326" s="3"/>
      <c r="AZ326" s="3"/>
      <c r="BA326" s="8"/>
    </row>
    <row x14ac:dyDescent="0.25" r="327" customHeight="1" ht="14.4">
      <c r="A327" s="440"/>
      <c r="B327" s="3"/>
      <c r="C327" s="3"/>
      <c r="D327" s="440"/>
      <c r="E327" s="8"/>
      <c r="F327" s="3"/>
      <c r="G327" s="3"/>
      <c r="H327" s="3"/>
      <c r="I327" s="8"/>
      <c r="J327" s="3"/>
      <c r="K327" s="3"/>
      <c r="L327" s="3"/>
      <c r="M327" s="3"/>
      <c r="N327" s="3"/>
      <c r="O327" s="3"/>
      <c r="P327" s="3"/>
      <c r="Q327" s="637"/>
      <c r="R327" s="3"/>
      <c r="S327" s="8"/>
      <c r="T327" s="3"/>
      <c r="U327" s="3"/>
      <c r="V327" s="3"/>
      <c r="W327" s="31"/>
      <c r="X327" s="3"/>
      <c r="Y327" s="3"/>
      <c r="Z327" s="3"/>
      <c r="AA327" s="637"/>
      <c r="AB327" s="8"/>
      <c r="AC327" s="637"/>
      <c r="AD327" s="8"/>
      <c r="AE327" s="637"/>
      <c r="AF327" s="3"/>
      <c r="AG327" s="3"/>
      <c r="AH327" s="3"/>
      <c r="AI327" s="8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22"/>
      <c r="AU327" s="22"/>
      <c r="AV327" s="22"/>
      <c r="AW327" s="22"/>
      <c r="AX327" s="8"/>
      <c r="AY327" s="3"/>
      <c r="AZ327" s="3"/>
      <c r="BA327" s="8"/>
    </row>
    <row x14ac:dyDescent="0.25" r="328" customHeight="1" ht="14.4">
      <c r="A328" s="440"/>
      <c r="B328" s="3"/>
      <c r="C328" s="3"/>
      <c r="D328" s="440"/>
      <c r="E328" s="8"/>
      <c r="F328" s="3"/>
      <c r="G328" s="3"/>
      <c r="H328" s="3"/>
      <c r="I328" s="8"/>
      <c r="J328" s="3"/>
      <c r="K328" s="3"/>
      <c r="L328" s="3"/>
      <c r="M328" s="3"/>
      <c r="N328" s="3"/>
      <c r="O328" s="3"/>
      <c r="P328" s="3"/>
      <c r="Q328" s="637"/>
      <c r="R328" s="3"/>
      <c r="S328" s="8"/>
      <c r="T328" s="3"/>
      <c r="U328" s="3"/>
      <c r="V328" s="3"/>
      <c r="W328" s="31"/>
      <c r="X328" s="3"/>
      <c r="Y328" s="3"/>
      <c r="Z328" s="3"/>
      <c r="AA328" s="637"/>
      <c r="AB328" s="8"/>
      <c r="AC328" s="637"/>
      <c r="AD328" s="8"/>
      <c r="AE328" s="637"/>
      <c r="AF328" s="3"/>
      <c r="AG328" s="3"/>
      <c r="AH328" s="3"/>
      <c r="AI328" s="8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22"/>
      <c r="AU328" s="22"/>
      <c r="AV328" s="22"/>
      <c r="AW328" s="22"/>
      <c r="AX328" s="8"/>
      <c r="AY328" s="3"/>
      <c r="AZ328" s="3"/>
      <c r="BA328" s="8"/>
    </row>
    <row x14ac:dyDescent="0.25" r="329" customHeight="1" ht="14.4">
      <c r="A329" s="440"/>
      <c r="B329" s="3"/>
      <c r="C329" s="3"/>
      <c r="D329" s="440"/>
      <c r="E329" s="631"/>
      <c r="F329" s="3"/>
      <c r="G329" s="3"/>
      <c r="H329" s="3"/>
      <c r="I329" s="8"/>
      <c r="J329" s="3"/>
      <c r="K329" s="3"/>
      <c r="L329" s="3"/>
      <c r="M329" s="3"/>
      <c r="N329" s="3"/>
      <c r="O329" s="3"/>
      <c r="P329" s="3"/>
      <c r="Q329" s="637"/>
      <c r="R329" s="3"/>
      <c r="S329" s="8"/>
      <c r="T329" s="3"/>
      <c r="U329" s="3"/>
      <c r="V329" s="3"/>
      <c r="W329" s="31"/>
      <c r="X329" s="3"/>
      <c r="Y329" s="3"/>
      <c r="Z329" s="3"/>
      <c r="AA329" s="637"/>
      <c r="AB329" s="8"/>
      <c r="AC329" s="637"/>
      <c r="AD329" s="8"/>
      <c r="AE329" s="31"/>
      <c r="AF329" s="3"/>
      <c r="AG329" s="3"/>
      <c r="AH329" s="3"/>
      <c r="AI329" s="8"/>
      <c r="AJ329" s="3"/>
      <c r="AK329" s="3"/>
      <c r="AL329" s="9"/>
      <c r="AM329" s="3"/>
      <c r="AN329" s="3"/>
      <c r="AO329" s="3"/>
      <c r="AP329" s="3"/>
      <c r="AQ329" s="3"/>
      <c r="AR329" s="3"/>
      <c r="AS329" s="3"/>
      <c r="AT329" s="22"/>
      <c r="AU329" s="22"/>
      <c r="AV329" s="22"/>
      <c r="AW329" s="22"/>
      <c r="AX329" s="8"/>
      <c r="AY329" s="3"/>
      <c r="AZ329" s="3"/>
      <c r="BA329" s="8"/>
    </row>
    <row x14ac:dyDescent="0.25" r="330" customHeight="1" ht="14.4">
      <c r="A330" s="440"/>
      <c r="B330" s="3"/>
      <c r="C330" s="3"/>
      <c r="D330" s="440"/>
      <c r="E330" s="8"/>
      <c r="F330" s="3"/>
      <c r="G330" s="3"/>
      <c r="H330" s="3"/>
      <c r="I330" s="8"/>
      <c r="J330" s="3"/>
      <c r="K330" s="3"/>
      <c r="L330" s="3"/>
      <c r="M330" s="3"/>
      <c r="N330" s="3"/>
      <c r="O330" s="3"/>
      <c r="P330" s="3"/>
      <c r="Q330" s="637"/>
      <c r="R330" s="3"/>
      <c r="S330" s="8"/>
      <c r="T330" s="3"/>
      <c r="U330" s="3"/>
      <c r="V330" s="3"/>
      <c r="W330" s="31"/>
      <c r="X330" s="3"/>
      <c r="Y330" s="3"/>
      <c r="Z330" s="3"/>
      <c r="AA330" s="637"/>
      <c r="AB330" s="8"/>
      <c r="AC330" s="637"/>
      <c r="AD330" s="8"/>
      <c r="AE330" s="31"/>
      <c r="AF330" s="3"/>
      <c r="AG330" s="3"/>
      <c r="AH330" s="3"/>
      <c r="AI330" s="8"/>
      <c r="AJ330" s="3"/>
      <c r="AK330" s="3"/>
      <c r="AL330" s="9"/>
      <c r="AM330" s="3"/>
      <c r="AN330" s="3"/>
      <c r="AO330" s="3"/>
      <c r="AP330" s="3"/>
      <c r="AQ330" s="3"/>
      <c r="AR330" s="3"/>
      <c r="AS330" s="3"/>
      <c r="AT330" s="22"/>
      <c r="AU330" s="22"/>
      <c r="AV330" s="22"/>
      <c r="AW330" s="22"/>
      <c r="AX330" s="8"/>
      <c r="AY330" s="3"/>
      <c r="AZ330" s="3"/>
      <c r="BA330" s="8"/>
    </row>
    <row x14ac:dyDescent="0.25" r="331" customHeight="1" ht="14.4">
      <c r="A331" s="440"/>
      <c r="B331" s="3"/>
      <c r="C331" s="3"/>
      <c r="D331" s="440"/>
      <c r="E331" s="8"/>
      <c r="F331" s="3"/>
      <c r="G331" s="3"/>
      <c r="H331" s="3"/>
      <c r="I331" s="8"/>
      <c r="J331" s="3"/>
      <c r="K331" s="3"/>
      <c r="L331" s="3"/>
      <c r="M331" s="3"/>
      <c r="N331" s="3"/>
      <c r="O331" s="3"/>
      <c r="P331" s="3"/>
      <c r="Q331" s="637"/>
      <c r="R331" s="3"/>
      <c r="S331" s="8"/>
      <c r="T331" s="3"/>
      <c r="U331" s="3"/>
      <c r="V331" s="3"/>
      <c r="W331" s="31"/>
      <c r="X331" s="3"/>
      <c r="Y331" s="3"/>
      <c r="Z331" s="3"/>
      <c r="AA331" s="637"/>
      <c r="AB331" s="8"/>
      <c r="AC331" s="637"/>
      <c r="AD331" s="8"/>
      <c r="AE331" s="637"/>
      <c r="AF331" s="3"/>
      <c r="AG331" s="3"/>
      <c r="AH331" s="3"/>
      <c r="AI331" s="8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22"/>
      <c r="AU331" s="22"/>
      <c r="AV331" s="22"/>
      <c r="AW331" s="22"/>
      <c r="AX331" s="8"/>
      <c r="AY331" s="3"/>
      <c r="AZ331" s="3"/>
      <c r="BA331" s="8"/>
    </row>
    <row x14ac:dyDescent="0.25" r="332" customHeight="1" ht="14.4">
      <c r="A332" s="440"/>
      <c r="B332" s="3"/>
      <c r="C332" s="3"/>
      <c r="D332" s="440"/>
      <c r="E332" s="8"/>
      <c r="F332" s="3"/>
      <c r="G332" s="3"/>
      <c r="H332" s="3"/>
      <c r="I332" s="8"/>
      <c r="J332" s="3"/>
      <c r="K332" s="3"/>
      <c r="L332" s="3"/>
      <c r="M332" s="3"/>
      <c r="N332" s="3"/>
      <c r="O332" s="3"/>
      <c r="P332" s="3"/>
      <c r="Q332" s="637"/>
      <c r="R332" s="3"/>
      <c r="S332" s="8"/>
      <c r="T332" s="3"/>
      <c r="U332" s="3"/>
      <c r="V332" s="3"/>
      <c r="W332" s="31"/>
      <c r="X332" s="3"/>
      <c r="Y332" s="3"/>
      <c r="Z332" s="3"/>
      <c r="AA332" s="637"/>
      <c r="AB332" s="8"/>
      <c r="AC332" s="637"/>
      <c r="AD332" s="8"/>
      <c r="AE332" s="637"/>
      <c r="AF332" s="3"/>
      <c r="AG332" s="3"/>
      <c r="AH332" s="3"/>
      <c r="AI332" s="8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22"/>
      <c r="AU332" s="22"/>
      <c r="AV332" s="22"/>
      <c r="AW332" s="22"/>
      <c r="AX332" s="8"/>
      <c r="AY332" s="3"/>
      <c r="AZ332" s="3"/>
      <c r="BA332" s="8"/>
    </row>
    <row x14ac:dyDescent="0.25" r="333" customHeight="1" ht="14.4">
      <c r="A333" s="440"/>
      <c r="B333" s="3"/>
      <c r="C333" s="3"/>
      <c r="D333" s="440"/>
      <c r="E333" s="8"/>
      <c r="F333" s="3"/>
      <c r="G333" s="3"/>
      <c r="H333" s="3"/>
      <c r="I333" s="8"/>
      <c r="J333" s="3"/>
      <c r="K333" s="3"/>
      <c r="L333" s="3"/>
      <c r="M333" s="3"/>
      <c r="N333" s="3"/>
      <c r="O333" s="3"/>
      <c r="P333" s="3"/>
      <c r="Q333" s="637"/>
      <c r="R333" s="3"/>
      <c r="S333" s="8"/>
      <c r="T333" s="3"/>
      <c r="U333" s="3"/>
      <c r="V333" s="3"/>
      <c r="W333" s="31"/>
      <c r="X333" s="3"/>
      <c r="Y333" s="3"/>
      <c r="Z333" s="3"/>
      <c r="AA333" s="637"/>
      <c r="AB333" s="8"/>
      <c r="AC333" s="637"/>
      <c r="AD333" s="8"/>
      <c r="AE333" s="637"/>
      <c r="AF333" s="3"/>
      <c r="AG333" s="3"/>
      <c r="AH333" s="3"/>
      <c r="AI333" s="8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22"/>
      <c r="AU333" s="22"/>
      <c r="AV333" s="22"/>
      <c r="AW333" s="22"/>
      <c r="AX333" s="8"/>
      <c r="AY333" s="3"/>
      <c r="AZ333" s="3"/>
      <c r="BA333" s="8"/>
    </row>
    <row x14ac:dyDescent="0.25" r="334" customHeight="1" ht="14.4">
      <c r="A334" s="440"/>
      <c r="B334" s="3"/>
      <c r="C334" s="3"/>
      <c r="D334" s="440"/>
      <c r="E334" s="8"/>
      <c r="F334" s="3"/>
      <c r="G334" s="3"/>
      <c r="H334" s="3"/>
      <c r="I334" s="8"/>
      <c r="J334" s="3"/>
      <c r="K334" s="3"/>
      <c r="L334" s="3"/>
      <c r="M334" s="3"/>
      <c r="N334" s="3"/>
      <c r="O334" s="3"/>
      <c r="P334" s="3"/>
      <c r="Q334" s="637"/>
      <c r="R334" s="3"/>
      <c r="S334" s="8"/>
      <c r="T334" s="3"/>
      <c r="U334" s="3"/>
      <c r="V334" s="3"/>
      <c r="W334" s="31"/>
      <c r="X334" s="3"/>
      <c r="Y334" s="3"/>
      <c r="Z334" s="3"/>
      <c r="AA334" s="637"/>
      <c r="AB334" s="8"/>
      <c r="AC334" s="637"/>
      <c r="AD334" s="8"/>
      <c r="AE334" s="637"/>
      <c r="AF334" s="3"/>
      <c r="AG334" s="3"/>
      <c r="AH334" s="3"/>
      <c r="AI334" s="8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22"/>
      <c r="AU334" s="22"/>
      <c r="AV334" s="22"/>
      <c r="AW334" s="22"/>
      <c r="AX334" s="8"/>
      <c r="AY334" s="3"/>
      <c r="AZ334" s="3"/>
      <c r="BA334" s="8"/>
    </row>
    <row x14ac:dyDescent="0.25" r="335" customHeight="1" ht="14.4">
      <c r="A335" s="440"/>
      <c r="B335" s="3"/>
      <c r="C335" s="3"/>
      <c r="D335" s="440"/>
      <c r="E335" s="8"/>
      <c r="F335" s="3"/>
      <c r="G335" s="3"/>
      <c r="H335" s="3"/>
      <c r="I335" s="8"/>
      <c r="J335" s="3"/>
      <c r="K335" s="3"/>
      <c r="L335" s="3"/>
      <c r="M335" s="3"/>
      <c r="N335" s="3"/>
      <c r="O335" s="3"/>
      <c r="P335" s="3"/>
      <c r="Q335" s="637"/>
      <c r="R335" s="3"/>
      <c r="S335" s="8"/>
      <c r="T335" s="3"/>
      <c r="U335" s="3"/>
      <c r="V335" s="3"/>
      <c r="W335" s="31"/>
      <c r="X335" s="3"/>
      <c r="Y335" s="3"/>
      <c r="Z335" s="3"/>
      <c r="AA335" s="637"/>
      <c r="AB335" s="8"/>
      <c r="AC335" s="637"/>
      <c r="AD335" s="8"/>
      <c r="AE335" s="637"/>
      <c r="AF335" s="3"/>
      <c r="AG335" s="3"/>
      <c r="AH335" s="3"/>
      <c r="AI335" s="8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22"/>
      <c r="AU335" s="22"/>
      <c r="AV335" s="22"/>
      <c r="AW335" s="22"/>
      <c r="AX335" s="8"/>
      <c r="AY335" s="3"/>
      <c r="AZ335" s="3"/>
      <c r="BA335" s="8"/>
    </row>
    <row x14ac:dyDescent="0.25" r="336" customHeight="1" ht="14.4">
      <c r="A336" s="440"/>
      <c r="B336" s="3"/>
      <c r="C336" s="3"/>
      <c r="D336" s="440"/>
      <c r="E336" s="8"/>
      <c r="F336" s="3"/>
      <c r="G336" s="3"/>
      <c r="H336" s="3"/>
      <c r="I336" s="8"/>
      <c r="J336" s="3"/>
      <c r="K336" s="3"/>
      <c r="L336" s="3"/>
      <c r="M336" s="3"/>
      <c r="N336" s="3"/>
      <c r="O336" s="3"/>
      <c r="P336" s="3"/>
      <c r="Q336" s="637"/>
      <c r="R336" s="3"/>
      <c r="S336" s="8"/>
      <c r="T336" s="3"/>
      <c r="U336" s="3"/>
      <c r="V336" s="3"/>
      <c r="W336" s="31"/>
      <c r="X336" s="3"/>
      <c r="Y336" s="3"/>
      <c r="Z336" s="3"/>
      <c r="AA336" s="637"/>
      <c r="AB336" s="8"/>
      <c r="AC336" s="637"/>
      <c r="AD336" s="8"/>
      <c r="AE336" s="637"/>
      <c r="AF336" s="3"/>
      <c r="AG336" s="3"/>
      <c r="AH336" s="3"/>
      <c r="AI336" s="8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22"/>
      <c r="AU336" s="22"/>
      <c r="AV336" s="22"/>
      <c r="AW336" s="22"/>
      <c r="AX336" s="8"/>
      <c r="AY336" s="3"/>
      <c r="AZ336" s="3"/>
      <c r="BA336" s="8"/>
    </row>
    <row x14ac:dyDescent="0.25" r="337" customHeight="1" ht="14.4">
      <c r="A337" s="440"/>
      <c r="B337" s="3"/>
      <c r="C337" s="3"/>
      <c r="D337" s="440"/>
      <c r="E337" s="8"/>
      <c r="F337" s="3"/>
      <c r="G337" s="3"/>
      <c r="H337" s="3"/>
      <c r="I337" s="8"/>
      <c r="J337" s="3"/>
      <c r="K337" s="3"/>
      <c r="L337" s="3"/>
      <c r="M337" s="3"/>
      <c r="N337" s="3"/>
      <c r="O337" s="3"/>
      <c r="P337" s="3"/>
      <c r="Q337" s="637"/>
      <c r="R337" s="3"/>
      <c r="S337" s="8"/>
      <c r="T337" s="3"/>
      <c r="U337" s="3"/>
      <c r="V337" s="3"/>
      <c r="W337" s="31"/>
      <c r="X337" s="3"/>
      <c r="Y337" s="3"/>
      <c r="Z337" s="3"/>
      <c r="AA337" s="637"/>
      <c r="AB337" s="8"/>
      <c r="AC337" s="637"/>
      <c r="AD337" s="8"/>
      <c r="AE337" s="637"/>
      <c r="AF337" s="3"/>
      <c r="AG337" s="3"/>
      <c r="AH337" s="3"/>
      <c r="AI337" s="8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22"/>
      <c r="AU337" s="22"/>
      <c r="AV337" s="22"/>
      <c r="AW337" s="22"/>
      <c r="AX337" s="8"/>
      <c r="AY337" s="3"/>
      <c r="AZ337" s="3"/>
      <c r="BA337" s="8"/>
    </row>
    <row x14ac:dyDescent="0.25" r="338" customHeight="1" ht="14.4">
      <c r="A338" s="440"/>
      <c r="B338" s="3"/>
      <c r="C338" s="3"/>
      <c r="D338" s="440"/>
      <c r="E338" s="8"/>
      <c r="F338" s="3"/>
      <c r="G338" s="3"/>
      <c r="H338" s="3"/>
      <c r="I338" s="8"/>
      <c r="J338" s="3"/>
      <c r="K338" s="3"/>
      <c r="L338" s="3"/>
      <c r="M338" s="3"/>
      <c r="N338" s="3"/>
      <c r="O338" s="3"/>
      <c r="P338" s="3"/>
      <c r="Q338" s="637"/>
      <c r="R338" s="3"/>
      <c r="S338" s="8"/>
      <c r="T338" s="3"/>
      <c r="U338" s="3"/>
      <c r="V338" s="3"/>
      <c r="W338" s="31"/>
      <c r="X338" s="3"/>
      <c r="Y338" s="3"/>
      <c r="Z338" s="3"/>
      <c r="AA338" s="637"/>
      <c r="AB338" s="8"/>
      <c r="AC338" s="637"/>
      <c r="AD338" s="8"/>
      <c r="AE338" s="637"/>
      <c r="AF338" s="3"/>
      <c r="AG338" s="3"/>
      <c r="AH338" s="3"/>
      <c r="AI338" s="8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22"/>
      <c r="AU338" s="22"/>
      <c r="AV338" s="22"/>
      <c r="AW338" s="22"/>
      <c r="AX338" s="8"/>
      <c r="AY338" s="3"/>
      <c r="AZ338" s="3"/>
      <c r="BA338" s="8"/>
    </row>
    <row x14ac:dyDescent="0.25" r="339" customHeight="1" ht="14.4">
      <c r="A339" s="440"/>
      <c r="B339" s="3"/>
      <c r="C339" s="3"/>
      <c r="D339" s="440"/>
      <c r="E339" s="8"/>
      <c r="F339" s="3"/>
      <c r="G339" s="3"/>
      <c r="H339" s="3"/>
      <c r="I339" s="8"/>
      <c r="J339" s="3"/>
      <c r="K339" s="3"/>
      <c r="L339" s="3"/>
      <c r="M339" s="3"/>
      <c r="N339" s="3"/>
      <c r="O339" s="3"/>
      <c r="P339" s="3"/>
      <c r="Q339" s="637"/>
      <c r="R339" s="3"/>
      <c r="S339" s="8"/>
      <c r="T339" s="3"/>
      <c r="U339" s="3"/>
      <c r="V339" s="3"/>
      <c r="W339" s="31"/>
      <c r="X339" s="3"/>
      <c r="Y339" s="3"/>
      <c r="Z339" s="3"/>
      <c r="AA339" s="637"/>
      <c r="AB339" s="8"/>
      <c r="AC339" s="637"/>
      <c r="AD339" s="8"/>
      <c r="AE339" s="637"/>
      <c r="AF339" s="3"/>
      <c r="AG339" s="3"/>
      <c r="AH339" s="3"/>
      <c r="AI339" s="8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22"/>
      <c r="AU339" s="22"/>
      <c r="AV339" s="22"/>
      <c r="AW339" s="22"/>
      <c r="AX339" s="8"/>
      <c r="AY339" s="3"/>
      <c r="AZ339" s="3"/>
      <c r="BA339" s="8"/>
    </row>
    <row x14ac:dyDescent="0.25" r="340" customHeight="1" ht="14.4">
      <c r="A340" s="440"/>
      <c r="B340" s="3"/>
      <c r="C340" s="3"/>
      <c r="D340" s="440"/>
      <c r="E340" s="8"/>
      <c r="F340" s="3"/>
      <c r="G340" s="3"/>
      <c r="H340" s="3"/>
      <c r="I340" s="8"/>
      <c r="J340" s="3"/>
      <c r="K340" s="3"/>
      <c r="L340" s="3"/>
      <c r="M340" s="3"/>
      <c r="N340" s="3"/>
      <c r="O340" s="3"/>
      <c r="P340" s="3"/>
      <c r="Q340" s="637"/>
      <c r="R340" s="3"/>
      <c r="S340" s="8"/>
      <c r="T340" s="3"/>
      <c r="U340" s="3"/>
      <c r="V340" s="3"/>
      <c r="W340" s="31"/>
      <c r="X340" s="3"/>
      <c r="Y340" s="3"/>
      <c r="Z340" s="3"/>
      <c r="AA340" s="637"/>
      <c r="AB340" s="8"/>
      <c r="AC340" s="637"/>
      <c r="AD340" s="8"/>
      <c r="AE340" s="637"/>
      <c r="AF340" s="3"/>
      <c r="AG340" s="3"/>
      <c r="AH340" s="3"/>
      <c r="AI340" s="8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22"/>
      <c r="AU340" s="22"/>
      <c r="AV340" s="22"/>
      <c r="AW340" s="22"/>
      <c r="AX340" s="8"/>
      <c r="AY340" s="3"/>
      <c r="AZ340" s="3"/>
      <c r="BA340" s="8"/>
    </row>
    <row x14ac:dyDescent="0.25" r="341" customHeight="1" ht="14.4">
      <c r="A341" s="440"/>
      <c r="B341" s="3"/>
      <c r="C341" s="3"/>
      <c r="D341" s="440"/>
      <c r="E341" s="8"/>
      <c r="F341" s="3"/>
      <c r="G341" s="3"/>
      <c r="H341" s="3"/>
      <c r="I341" s="8"/>
      <c r="J341" s="3"/>
      <c r="K341" s="3"/>
      <c r="L341" s="3"/>
      <c r="M341" s="3"/>
      <c r="N341" s="3"/>
      <c r="O341" s="3"/>
      <c r="P341" s="3"/>
      <c r="Q341" s="637"/>
      <c r="R341" s="3"/>
      <c r="S341" s="8"/>
      <c r="T341" s="3"/>
      <c r="U341" s="3"/>
      <c r="V341" s="3"/>
      <c r="W341" s="31"/>
      <c r="X341" s="3"/>
      <c r="Y341" s="3"/>
      <c r="Z341" s="3"/>
      <c r="AA341" s="637"/>
      <c r="AB341" s="8"/>
      <c r="AC341" s="637"/>
      <c r="AD341" s="8"/>
      <c r="AE341" s="637"/>
      <c r="AF341" s="3"/>
      <c r="AG341" s="3"/>
      <c r="AH341" s="3"/>
      <c r="AI341" s="8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22"/>
      <c r="AU341" s="22"/>
      <c r="AV341" s="22"/>
      <c r="AW341" s="22"/>
      <c r="AX341" s="8"/>
      <c r="AY341" s="3"/>
      <c r="AZ341" s="3"/>
      <c r="BA341" s="8"/>
    </row>
    <row x14ac:dyDescent="0.25" r="342" customHeight="1" ht="14.4">
      <c r="A342" s="440"/>
      <c r="B342" s="3"/>
      <c r="C342" s="3"/>
      <c r="D342" s="440"/>
      <c r="E342" s="8"/>
      <c r="F342" s="3"/>
      <c r="G342" s="3"/>
      <c r="H342" s="3"/>
      <c r="I342" s="8"/>
      <c r="J342" s="3"/>
      <c r="K342" s="3"/>
      <c r="L342" s="3"/>
      <c r="M342" s="3"/>
      <c r="N342" s="3"/>
      <c r="O342" s="3"/>
      <c r="P342" s="3"/>
      <c r="Q342" s="637"/>
      <c r="R342" s="3"/>
      <c r="S342" s="8"/>
      <c r="T342" s="3"/>
      <c r="U342" s="3"/>
      <c r="V342" s="3"/>
      <c r="W342" s="31"/>
      <c r="X342" s="3"/>
      <c r="Y342" s="3"/>
      <c r="Z342" s="3"/>
      <c r="AA342" s="637"/>
      <c r="AB342" s="8"/>
      <c r="AC342" s="637"/>
      <c r="AD342" s="8"/>
      <c r="AE342" s="637"/>
      <c r="AF342" s="3"/>
      <c r="AG342" s="3"/>
      <c r="AH342" s="3"/>
      <c r="AI342" s="8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22"/>
      <c r="AU342" s="22"/>
      <c r="AV342" s="22"/>
      <c r="AW342" s="22"/>
      <c r="AX342" s="8"/>
      <c r="AY342" s="3"/>
      <c r="AZ342" s="3"/>
      <c r="BA342" s="8"/>
    </row>
    <row x14ac:dyDescent="0.25" r="343" customHeight="1" ht="14.4">
      <c r="A343" s="440"/>
      <c r="B343" s="3"/>
      <c r="C343" s="3"/>
      <c r="D343" s="440"/>
      <c r="E343" s="8"/>
      <c r="F343" s="3"/>
      <c r="G343" s="3"/>
      <c r="H343" s="3"/>
      <c r="I343" s="8"/>
      <c r="J343" s="3"/>
      <c r="K343" s="3"/>
      <c r="L343" s="3"/>
      <c r="M343" s="3"/>
      <c r="N343" s="3"/>
      <c r="O343" s="3"/>
      <c r="P343" s="3"/>
      <c r="Q343" s="637"/>
      <c r="R343" s="3"/>
      <c r="S343" s="8"/>
      <c r="T343" s="3"/>
      <c r="U343" s="3"/>
      <c r="V343" s="3"/>
      <c r="W343" s="31"/>
      <c r="X343" s="3"/>
      <c r="Y343" s="3"/>
      <c r="Z343" s="3"/>
      <c r="AA343" s="637"/>
      <c r="AB343" s="8"/>
      <c r="AC343" s="637"/>
      <c r="AD343" s="8"/>
      <c r="AE343" s="637"/>
      <c r="AF343" s="3"/>
      <c r="AG343" s="3"/>
      <c r="AH343" s="3"/>
      <c r="AI343" s="8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22"/>
      <c r="AU343" s="22"/>
      <c r="AV343" s="22"/>
      <c r="AW343" s="22"/>
      <c r="AX343" s="8"/>
      <c r="AY343" s="3"/>
      <c r="AZ343" s="3"/>
      <c r="BA343" s="8"/>
    </row>
    <row x14ac:dyDescent="0.25" r="344" customHeight="1" ht="14.4">
      <c r="A344" s="440"/>
      <c r="B344" s="3"/>
      <c r="C344" s="3"/>
      <c r="D344" s="440"/>
      <c r="E344" s="8"/>
      <c r="F344" s="3"/>
      <c r="G344" s="3"/>
      <c r="H344" s="3"/>
      <c r="I344" s="8"/>
      <c r="J344" s="3"/>
      <c r="K344" s="3"/>
      <c r="L344" s="3"/>
      <c r="M344" s="3"/>
      <c r="N344" s="3"/>
      <c r="O344" s="3"/>
      <c r="P344" s="3"/>
      <c r="Q344" s="637"/>
      <c r="R344" s="3"/>
      <c r="S344" s="8"/>
      <c r="T344" s="3"/>
      <c r="U344" s="3"/>
      <c r="V344" s="3"/>
      <c r="W344" s="31"/>
      <c r="X344" s="3"/>
      <c r="Y344" s="3"/>
      <c r="Z344" s="3"/>
      <c r="AA344" s="637"/>
      <c r="AB344" s="8"/>
      <c r="AC344" s="637"/>
      <c r="AD344" s="8"/>
      <c r="AE344" s="637"/>
      <c r="AF344" s="3"/>
      <c r="AG344" s="3"/>
      <c r="AH344" s="3"/>
      <c r="AI344" s="8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22"/>
      <c r="AU344" s="22"/>
      <c r="AV344" s="22"/>
      <c r="AW344" s="22"/>
      <c r="AX344" s="8"/>
      <c r="AY344" s="3"/>
      <c r="AZ344" s="3"/>
      <c r="BA344" s="8"/>
    </row>
    <row x14ac:dyDescent="0.25" r="345" customHeight="1" ht="14.4">
      <c r="A345" s="440"/>
      <c r="B345" s="3"/>
      <c r="C345" s="3"/>
      <c r="D345" s="440"/>
      <c r="E345" s="8"/>
      <c r="F345" s="3"/>
      <c r="G345" s="3"/>
      <c r="H345" s="3"/>
      <c r="I345" s="8"/>
      <c r="J345" s="3"/>
      <c r="K345" s="3"/>
      <c r="L345" s="3"/>
      <c r="M345" s="3"/>
      <c r="N345" s="3"/>
      <c r="O345" s="3"/>
      <c r="P345" s="3"/>
      <c r="Q345" s="637"/>
      <c r="R345" s="3"/>
      <c r="S345" s="8"/>
      <c r="T345" s="3"/>
      <c r="U345" s="3"/>
      <c r="V345" s="3"/>
      <c r="W345" s="31"/>
      <c r="X345" s="3"/>
      <c r="Y345" s="3"/>
      <c r="Z345" s="3"/>
      <c r="AA345" s="637"/>
      <c r="AB345" s="8"/>
      <c r="AC345" s="637"/>
      <c r="AD345" s="8"/>
      <c r="AE345" s="637"/>
      <c r="AF345" s="3"/>
      <c r="AG345" s="3"/>
      <c r="AH345" s="3"/>
      <c r="AI345" s="8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22"/>
      <c r="AU345" s="22"/>
      <c r="AV345" s="22"/>
      <c r="AW345" s="22"/>
      <c r="AX345" s="8"/>
      <c r="AY345" s="3"/>
      <c r="AZ345" s="3"/>
      <c r="BA345" s="8"/>
    </row>
    <row x14ac:dyDescent="0.25" r="346" customHeight="1" ht="14.4">
      <c r="A346" s="440"/>
      <c r="B346" s="3"/>
      <c r="C346" s="3"/>
      <c r="D346" s="440"/>
      <c r="E346" s="8"/>
      <c r="F346" s="3"/>
      <c r="G346" s="3"/>
      <c r="H346" s="3"/>
      <c r="I346" s="8"/>
      <c r="J346" s="3"/>
      <c r="K346" s="3"/>
      <c r="L346" s="3"/>
      <c r="M346" s="3"/>
      <c r="N346" s="3"/>
      <c r="O346" s="3"/>
      <c r="P346" s="3"/>
      <c r="Q346" s="637"/>
      <c r="R346" s="3"/>
      <c r="S346" s="8"/>
      <c r="T346" s="3"/>
      <c r="U346" s="3"/>
      <c r="V346" s="3"/>
      <c r="W346" s="31"/>
      <c r="X346" s="3"/>
      <c r="Y346" s="3"/>
      <c r="Z346" s="3"/>
      <c r="AA346" s="637"/>
      <c r="AB346" s="8"/>
      <c r="AC346" s="637"/>
      <c r="AD346" s="8"/>
      <c r="AE346" s="637"/>
      <c r="AF346" s="3"/>
      <c r="AG346" s="3"/>
      <c r="AH346" s="3"/>
      <c r="AI346" s="8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22"/>
      <c r="AU346" s="22"/>
      <c r="AV346" s="22"/>
      <c r="AW346" s="22"/>
      <c r="AX346" s="8"/>
      <c r="AY346" s="3"/>
      <c r="AZ346" s="3"/>
      <c r="BA346" s="8"/>
    </row>
    <row x14ac:dyDescent="0.25" r="347" customHeight="1" ht="14.4">
      <c r="A347" s="440"/>
      <c r="B347" s="3"/>
      <c r="C347" s="3"/>
      <c r="D347" s="440"/>
      <c r="E347" s="8"/>
      <c r="F347" s="3"/>
      <c r="G347" s="3"/>
      <c r="H347" s="3"/>
      <c r="I347" s="8"/>
      <c r="J347" s="3"/>
      <c r="K347" s="3"/>
      <c r="L347" s="3"/>
      <c r="M347" s="3"/>
      <c r="N347" s="3"/>
      <c r="O347" s="3"/>
      <c r="P347" s="3"/>
      <c r="Q347" s="637"/>
      <c r="R347" s="3"/>
      <c r="S347" s="8"/>
      <c r="T347" s="3"/>
      <c r="U347" s="3"/>
      <c r="V347" s="3"/>
      <c r="W347" s="31"/>
      <c r="X347" s="3"/>
      <c r="Y347" s="3"/>
      <c r="Z347" s="3"/>
      <c r="AA347" s="637"/>
      <c r="AB347" s="8"/>
      <c r="AC347" s="637"/>
      <c r="AD347" s="8"/>
      <c r="AE347" s="637"/>
      <c r="AF347" s="3"/>
      <c r="AG347" s="3"/>
      <c r="AH347" s="3"/>
      <c r="AI347" s="8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22"/>
      <c r="AU347" s="22"/>
      <c r="AV347" s="22"/>
      <c r="AW347" s="22"/>
      <c r="AX347" s="8"/>
      <c r="AY347" s="3"/>
      <c r="AZ347" s="3"/>
      <c r="BA347" s="8"/>
    </row>
    <row x14ac:dyDescent="0.25" r="348" customHeight="1" ht="14.4">
      <c r="A348" s="440"/>
      <c r="B348" s="3"/>
      <c r="C348" s="3"/>
      <c r="D348" s="440"/>
      <c r="E348" s="8"/>
      <c r="F348" s="3"/>
      <c r="G348" s="3"/>
      <c r="H348" s="3"/>
      <c r="I348" s="8"/>
      <c r="J348" s="3"/>
      <c r="K348" s="3"/>
      <c r="L348" s="3"/>
      <c r="M348" s="3"/>
      <c r="N348" s="3"/>
      <c r="O348" s="3"/>
      <c r="P348" s="3"/>
      <c r="Q348" s="637"/>
      <c r="R348" s="3"/>
      <c r="S348" s="8"/>
      <c r="T348" s="3"/>
      <c r="U348" s="3"/>
      <c r="V348" s="3"/>
      <c r="W348" s="31"/>
      <c r="X348" s="3"/>
      <c r="Y348" s="3"/>
      <c r="Z348" s="3"/>
      <c r="AA348" s="637"/>
      <c r="AB348" s="8"/>
      <c r="AC348" s="637"/>
      <c r="AD348" s="8"/>
      <c r="AE348" s="637"/>
      <c r="AF348" s="3"/>
      <c r="AG348" s="3"/>
      <c r="AH348" s="3"/>
      <c r="AI348" s="8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22"/>
      <c r="AU348" s="22"/>
      <c r="AV348" s="22"/>
      <c r="AW348" s="22"/>
      <c r="AX348" s="8"/>
      <c r="AY348" s="3"/>
      <c r="AZ348" s="3"/>
      <c r="BA348" s="8"/>
    </row>
    <row x14ac:dyDescent="0.25" r="349" customHeight="1" ht="14.4">
      <c r="A349" s="440"/>
      <c r="B349" s="3"/>
      <c r="C349" s="3"/>
      <c r="D349" s="440"/>
      <c r="E349" s="8"/>
      <c r="F349" s="3"/>
      <c r="G349" s="3"/>
      <c r="H349" s="3"/>
      <c r="I349" s="8"/>
      <c r="J349" s="3"/>
      <c r="K349" s="3"/>
      <c r="L349" s="3"/>
      <c r="M349" s="3"/>
      <c r="N349" s="3"/>
      <c r="O349" s="3"/>
      <c r="P349" s="3"/>
      <c r="Q349" s="637"/>
      <c r="R349" s="3"/>
      <c r="S349" s="8"/>
      <c r="T349" s="3"/>
      <c r="U349" s="3"/>
      <c r="V349" s="3"/>
      <c r="W349" s="31"/>
      <c r="X349" s="3"/>
      <c r="Y349" s="3"/>
      <c r="Z349" s="3"/>
      <c r="AA349" s="637"/>
      <c r="AB349" s="8"/>
      <c r="AC349" s="637"/>
      <c r="AD349" s="8"/>
      <c r="AE349" s="637"/>
      <c r="AF349" s="3"/>
      <c r="AG349" s="3"/>
      <c r="AH349" s="3"/>
      <c r="AI349" s="8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22"/>
      <c r="AU349" s="22"/>
      <c r="AV349" s="22"/>
      <c r="AW349" s="22"/>
      <c r="AX349" s="8"/>
      <c r="AY349" s="3"/>
      <c r="AZ349" s="3"/>
      <c r="BA349" s="8"/>
    </row>
    <row x14ac:dyDescent="0.25" r="350" customHeight="1" ht="14.4">
      <c r="A350" s="440"/>
      <c r="B350" s="3"/>
      <c r="C350" s="3"/>
      <c r="D350" s="440"/>
      <c r="E350" s="8"/>
      <c r="F350" s="3"/>
      <c r="G350" s="3"/>
      <c r="H350" s="3"/>
      <c r="I350" s="8"/>
      <c r="J350" s="3"/>
      <c r="K350" s="3"/>
      <c r="L350" s="3"/>
      <c r="M350" s="3"/>
      <c r="N350" s="3"/>
      <c r="O350" s="3"/>
      <c r="P350" s="3"/>
      <c r="Q350" s="637"/>
      <c r="R350" s="3"/>
      <c r="S350" s="8"/>
      <c r="T350" s="3"/>
      <c r="U350" s="3"/>
      <c r="V350" s="3"/>
      <c r="W350" s="31"/>
      <c r="X350" s="3"/>
      <c r="Y350" s="3"/>
      <c r="Z350" s="3"/>
      <c r="AA350" s="637"/>
      <c r="AB350" s="8"/>
      <c r="AC350" s="637"/>
      <c r="AD350" s="8"/>
      <c r="AE350" s="637"/>
      <c r="AF350" s="3"/>
      <c r="AG350" s="3"/>
      <c r="AH350" s="3"/>
      <c r="AI350" s="8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22"/>
      <c r="AU350" s="22"/>
      <c r="AV350" s="22"/>
      <c r="AW350" s="22"/>
      <c r="AX350" s="8"/>
      <c r="AY350" s="3"/>
      <c r="AZ350" s="3"/>
      <c r="BA350" s="8"/>
    </row>
    <row x14ac:dyDescent="0.25" r="351" customHeight="1" ht="14.4">
      <c r="A351" s="440"/>
      <c r="B351" s="3"/>
      <c r="C351" s="3"/>
      <c r="D351" s="440"/>
      <c r="E351" s="8"/>
      <c r="F351" s="3"/>
      <c r="G351" s="3"/>
      <c r="H351" s="3"/>
      <c r="I351" s="8"/>
      <c r="J351" s="3"/>
      <c r="K351" s="3"/>
      <c r="L351" s="3"/>
      <c r="M351" s="3"/>
      <c r="N351" s="3"/>
      <c r="O351" s="3"/>
      <c r="P351" s="3"/>
      <c r="Q351" s="637"/>
      <c r="R351" s="3"/>
      <c r="S351" s="8"/>
      <c r="T351" s="3"/>
      <c r="U351" s="3"/>
      <c r="V351" s="3"/>
      <c r="W351" s="31"/>
      <c r="X351" s="3"/>
      <c r="Y351" s="3"/>
      <c r="Z351" s="3"/>
      <c r="AA351" s="637"/>
      <c r="AB351" s="8"/>
      <c r="AC351" s="637"/>
      <c r="AD351" s="8"/>
      <c r="AE351" s="637"/>
      <c r="AF351" s="3"/>
      <c r="AG351" s="3"/>
      <c r="AH351" s="3"/>
      <c r="AI351" s="8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22"/>
      <c r="AU351" s="22"/>
      <c r="AV351" s="22"/>
      <c r="AW351" s="22"/>
      <c r="AX351" s="8"/>
      <c r="AY351" s="3"/>
      <c r="AZ351" s="3"/>
      <c r="BA351" s="8"/>
    </row>
    <row x14ac:dyDescent="0.25" r="352" customHeight="1" ht="14.4">
      <c r="A352" s="440"/>
      <c r="B352" s="3"/>
      <c r="C352" s="3"/>
      <c r="D352" s="440"/>
      <c r="E352" s="8"/>
      <c r="F352" s="3"/>
      <c r="G352" s="3"/>
      <c r="H352" s="3"/>
      <c r="I352" s="8"/>
      <c r="J352" s="3"/>
      <c r="K352" s="3"/>
      <c r="L352" s="3"/>
      <c r="M352" s="3"/>
      <c r="N352" s="3"/>
      <c r="O352" s="3"/>
      <c r="P352" s="3"/>
      <c r="Q352" s="637"/>
      <c r="R352" s="3"/>
      <c r="S352" s="8"/>
      <c r="T352" s="3"/>
      <c r="U352" s="3"/>
      <c r="V352" s="3"/>
      <c r="W352" s="31"/>
      <c r="X352" s="3"/>
      <c r="Y352" s="3"/>
      <c r="Z352" s="3"/>
      <c r="AA352" s="637"/>
      <c r="AB352" s="8"/>
      <c r="AC352" s="637"/>
      <c r="AD352" s="8"/>
      <c r="AE352" s="637"/>
      <c r="AF352" s="3"/>
      <c r="AG352" s="3"/>
      <c r="AH352" s="3"/>
      <c r="AI352" s="8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22"/>
      <c r="AU352" s="22"/>
      <c r="AV352" s="22"/>
      <c r="AW352" s="22"/>
      <c r="AX352" s="8"/>
      <c r="AY352" s="3"/>
      <c r="AZ352" s="3"/>
      <c r="BA352" s="8"/>
    </row>
    <row x14ac:dyDescent="0.25" r="353" customHeight="1" ht="14.4">
      <c r="A353" s="440"/>
      <c r="B353" s="3"/>
      <c r="C353" s="3"/>
      <c r="D353" s="440"/>
      <c r="E353" s="8"/>
      <c r="F353" s="3"/>
      <c r="G353" s="3"/>
      <c r="H353" s="3"/>
      <c r="I353" s="8"/>
      <c r="J353" s="3"/>
      <c r="K353" s="3"/>
      <c r="L353" s="3"/>
      <c r="M353" s="3"/>
      <c r="N353" s="3"/>
      <c r="O353" s="3"/>
      <c r="P353" s="3"/>
      <c r="Q353" s="637"/>
      <c r="R353" s="3"/>
      <c r="S353" s="8"/>
      <c r="T353" s="3"/>
      <c r="U353" s="3"/>
      <c r="V353" s="3"/>
      <c r="W353" s="31"/>
      <c r="X353" s="3"/>
      <c r="Y353" s="3"/>
      <c r="Z353" s="3"/>
      <c r="AA353" s="637"/>
      <c r="AB353" s="8"/>
      <c r="AC353" s="637"/>
      <c r="AD353" s="8"/>
      <c r="AE353" s="637"/>
      <c r="AF353" s="3"/>
      <c r="AG353" s="3"/>
      <c r="AH353" s="3"/>
      <c r="AI353" s="8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22"/>
      <c r="AU353" s="22"/>
      <c r="AV353" s="22"/>
      <c r="AW353" s="22"/>
      <c r="AX353" s="8"/>
      <c r="AY353" s="3"/>
      <c r="AZ353" s="3"/>
      <c r="BA353" s="8"/>
    </row>
    <row x14ac:dyDescent="0.25" r="354" customHeight="1" ht="14.4">
      <c r="A354" s="440"/>
      <c r="B354" s="3"/>
      <c r="C354" s="3"/>
      <c r="D354" s="440"/>
      <c r="E354" s="8"/>
      <c r="F354" s="3"/>
      <c r="G354" s="3"/>
      <c r="H354" s="3"/>
      <c r="I354" s="8"/>
      <c r="J354" s="3"/>
      <c r="K354" s="3"/>
      <c r="L354" s="3"/>
      <c r="M354" s="3"/>
      <c r="N354" s="3"/>
      <c r="O354" s="3"/>
      <c r="P354" s="3"/>
      <c r="Q354" s="637"/>
      <c r="R354" s="3"/>
      <c r="S354" s="8"/>
      <c r="T354" s="3"/>
      <c r="U354" s="3"/>
      <c r="V354" s="3"/>
      <c r="W354" s="31"/>
      <c r="X354" s="3"/>
      <c r="Y354" s="3"/>
      <c r="Z354" s="3"/>
      <c r="AA354" s="637"/>
      <c r="AB354" s="8"/>
      <c r="AC354" s="637"/>
      <c r="AD354" s="8"/>
      <c r="AE354" s="637"/>
      <c r="AF354" s="3"/>
      <c r="AG354" s="3"/>
      <c r="AH354" s="3"/>
      <c r="AI354" s="8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22"/>
      <c r="AU354" s="22"/>
      <c r="AV354" s="22"/>
      <c r="AW354" s="22"/>
      <c r="AX354" s="8"/>
      <c r="AY354" s="3"/>
      <c r="AZ354" s="3"/>
      <c r="BA354" s="8"/>
    </row>
    <row x14ac:dyDescent="0.25" r="355" customHeight="1" ht="14.4">
      <c r="A355" s="440"/>
      <c r="B355" s="3"/>
      <c r="C355" s="3"/>
      <c r="D355" s="440"/>
      <c r="E355" s="8"/>
      <c r="F355" s="3"/>
      <c r="G355" s="3"/>
      <c r="H355" s="3"/>
      <c r="I355" s="8"/>
      <c r="J355" s="3"/>
      <c r="K355" s="3"/>
      <c r="L355" s="3"/>
      <c r="M355" s="3"/>
      <c r="N355" s="3"/>
      <c r="O355" s="3"/>
      <c r="P355" s="3"/>
      <c r="Q355" s="637"/>
      <c r="R355" s="3"/>
      <c r="S355" s="8"/>
      <c r="T355" s="3"/>
      <c r="U355" s="3"/>
      <c r="V355" s="3"/>
      <c r="W355" s="31"/>
      <c r="X355" s="3"/>
      <c r="Y355" s="3"/>
      <c r="Z355" s="3"/>
      <c r="AA355" s="637"/>
      <c r="AB355" s="8"/>
      <c r="AC355" s="637"/>
      <c r="AD355" s="8"/>
      <c r="AE355" s="637"/>
      <c r="AF355" s="3"/>
      <c r="AG355" s="3"/>
      <c r="AH355" s="3"/>
      <c r="AI355" s="8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22"/>
      <c r="AU355" s="22"/>
      <c r="AV355" s="22"/>
      <c r="AW355" s="22"/>
      <c r="AX355" s="8"/>
      <c r="AY355" s="3"/>
      <c r="AZ355" s="3"/>
      <c r="BA355" s="8"/>
    </row>
    <row x14ac:dyDescent="0.25" r="356" customHeight="1" ht="14.4">
      <c r="A356" s="440"/>
      <c r="B356" s="3"/>
      <c r="C356" s="3"/>
      <c r="D356" s="440"/>
      <c r="E356" s="8"/>
      <c r="F356" s="3"/>
      <c r="G356" s="3"/>
      <c r="H356" s="3"/>
      <c r="I356" s="8"/>
      <c r="J356" s="3"/>
      <c r="K356" s="3"/>
      <c r="L356" s="3"/>
      <c r="M356" s="3"/>
      <c r="N356" s="3"/>
      <c r="O356" s="3"/>
      <c r="P356" s="3"/>
      <c r="Q356" s="637"/>
      <c r="R356" s="3"/>
      <c r="S356" s="8"/>
      <c r="T356" s="3"/>
      <c r="U356" s="3"/>
      <c r="V356" s="3"/>
      <c r="W356" s="31"/>
      <c r="X356" s="3"/>
      <c r="Y356" s="3"/>
      <c r="Z356" s="3"/>
      <c r="AA356" s="637"/>
      <c r="AB356" s="8"/>
      <c r="AC356" s="637"/>
      <c r="AD356" s="8"/>
      <c r="AE356" s="637"/>
      <c r="AF356" s="3"/>
      <c r="AG356" s="3"/>
      <c r="AH356" s="3"/>
      <c r="AI356" s="8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22"/>
      <c r="AU356" s="22"/>
      <c r="AV356" s="22"/>
      <c r="AW356" s="22"/>
      <c r="AX356" s="8"/>
      <c r="AY356" s="3"/>
      <c r="AZ356" s="3"/>
      <c r="BA356" s="8"/>
    </row>
    <row x14ac:dyDescent="0.25" r="357" customHeight="1" ht="14.4">
      <c r="A357" s="440"/>
      <c r="B357" s="3"/>
      <c r="C357" s="3"/>
      <c r="D357" s="440"/>
      <c r="E357" s="8"/>
      <c r="F357" s="3"/>
      <c r="G357" s="3"/>
      <c r="H357" s="3"/>
      <c r="I357" s="8"/>
      <c r="J357" s="3"/>
      <c r="K357" s="3"/>
      <c r="L357" s="3"/>
      <c r="M357" s="3"/>
      <c r="N357" s="3"/>
      <c r="O357" s="3"/>
      <c r="P357" s="3"/>
      <c r="Q357" s="637"/>
      <c r="R357" s="3"/>
      <c r="S357" s="8"/>
      <c r="T357" s="3"/>
      <c r="U357" s="3"/>
      <c r="V357" s="3"/>
      <c r="W357" s="31"/>
      <c r="X357" s="3"/>
      <c r="Y357" s="3"/>
      <c r="Z357" s="3"/>
      <c r="AA357" s="637"/>
      <c r="AB357" s="8"/>
      <c r="AC357" s="637"/>
      <c r="AD357" s="8"/>
      <c r="AE357" s="637"/>
      <c r="AF357" s="3"/>
      <c r="AG357" s="3"/>
      <c r="AH357" s="3"/>
      <c r="AI357" s="8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22"/>
      <c r="AU357" s="22"/>
      <c r="AV357" s="22"/>
      <c r="AW357" s="22"/>
      <c r="AX357" s="8"/>
      <c r="AY357" s="3"/>
      <c r="AZ357" s="3"/>
      <c r="BA357" s="8"/>
    </row>
    <row x14ac:dyDescent="0.25" r="358" customHeight="1" ht="14.4">
      <c r="A358" s="440"/>
      <c r="B358" s="3"/>
      <c r="C358" s="3"/>
      <c r="D358" s="440"/>
      <c r="E358" s="8"/>
      <c r="F358" s="3"/>
      <c r="G358" s="3"/>
      <c r="H358" s="3"/>
      <c r="I358" s="8"/>
      <c r="J358" s="3"/>
      <c r="K358" s="3"/>
      <c r="L358" s="3"/>
      <c r="M358" s="3"/>
      <c r="N358" s="3"/>
      <c r="O358" s="3"/>
      <c r="P358" s="3"/>
      <c r="Q358" s="637"/>
      <c r="R358" s="3"/>
      <c r="S358" s="8"/>
      <c r="T358" s="3"/>
      <c r="U358" s="3"/>
      <c r="V358" s="3"/>
      <c r="W358" s="31"/>
      <c r="X358" s="3"/>
      <c r="Y358" s="3"/>
      <c r="Z358" s="3"/>
      <c r="AA358" s="637"/>
      <c r="AB358" s="8"/>
      <c r="AC358" s="637"/>
      <c r="AD358" s="8"/>
      <c r="AE358" s="637"/>
      <c r="AF358" s="3"/>
      <c r="AG358" s="3"/>
      <c r="AH358" s="3"/>
      <c r="AI358" s="8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22"/>
      <c r="AU358" s="22"/>
      <c r="AV358" s="22"/>
      <c r="AW358" s="22"/>
      <c r="AX358" s="8"/>
      <c r="AY358" s="3"/>
      <c r="AZ358" s="3"/>
      <c r="BA358" s="8"/>
    </row>
    <row x14ac:dyDescent="0.25" r="359" customHeight="1" ht="14.4">
      <c r="A359" s="440"/>
      <c r="B359" s="3"/>
      <c r="C359" s="3"/>
      <c r="D359" s="440"/>
      <c r="E359" s="8"/>
      <c r="F359" s="3"/>
      <c r="G359" s="3"/>
      <c r="H359" s="3"/>
      <c r="I359" s="8"/>
      <c r="J359" s="3"/>
      <c r="K359" s="3"/>
      <c r="L359" s="3"/>
      <c r="M359" s="3"/>
      <c r="N359" s="3"/>
      <c r="O359" s="3"/>
      <c r="P359" s="3"/>
      <c r="Q359" s="637"/>
      <c r="R359" s="3"/>
      <c r="S359" s="8"/>
      <c r="T359" s="3"/>
      <c r="U359" s="3"/>
      <c r="V359" s="3"/>
      <c r="W359" s="31"/>
      <c r="X359" s="3"/>
      <c r="Y359" s="3"/>
      <c r="Z359" s="3"/>
      <c r="AA359" s="637"/>
      <c r="AB359" s="8"/>
      <c r="AC359" s="637"/>
      <c r="AD359" s="8"/>
      <c r="AE359" s="637"/>
      <c r="AF359" s="3"/>
      <c r="AG359" s="3"/>
      <c r="AH359" s="3"/>
      <c r="AI359" s="8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22"/>
      <c r="AU359" s="22"/>
      <c r="AV359" s="22"/>
      <c r="AW359" s="22"/>
      <c r="AX359" s="8"/>
      <c r="AY359" s="3"/>
      <c r="AZ359" s="3"/>
      <c r="BA359" s="8"/>
    </row>
    <row x14ac:dyDescent="0.25" r="360" customHeight="1" ht="14.4">
      <c r="A360" s="440"/>
      <c r="B360" s="3"/>
      <c r="C360" s="3"/>
      <c r="D360" s="440"/>
      <c r="E360" s="8"/>
      <c r="F360" s="3"/>
      <c r="G360" s="3"/>
      <c r="H360" s="3"/>
      <c r="I360" s="8"/>
      <c r="J360" s="3"/>
      <c r="K360" s="3"/>
      <c r="L360" s="3"/>
      <c r="M360" s="3"/>
      <c r="N360" s="3"/>
      <c r="O360" s="3"/>
      <c r="P360" s="3"/>
      <c r="Q360" s="637"/>
      <c r="R360" s="3"/>
      <c r="S360" s="8"/>
      <c r="T360" s="3"/>
      <c r="U360" s="3"/>
      <c r="V360" s="3"/>
      <c r="W360" s="31"/>
      <c r="X360" s="3"/>
      <c r="Y360" s="3"/>
      <c r="Z360" s="3"/>
      <c r="AA360" s="637"/>
      <c r="AB360" s="8"/>
      <c r="AC360" s="637"/>
      <c r="AD360" s="8"/>
      <c r="AE360" s="637"/>
      <c r="AF360" s="3"/>
      <c r="AG360" s="3"/>
      <c r="AH360" s="3"/>
      <c r="AI360" s="8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22"/>
      <c r="AU360" s="22"/>
      <c r="AV360" s="22"/>
      <c r="AW360" s="22"/>
      <c r="AX360" s="8"/>
      <c r="AY360" s="3"/>
      <c r="AZ360" s="3"/>
      <c r="BA360" s="8"/>
    </row>
    <row x14ac:dyDescent="0.25" r="361" customHeight="1" ht="14.4">
      <c r="A361" s="440"/>
      <c r="B361" s="3"/>
      <c r="C361" s="3"/>
      <c r="D361" s="440"/>
      <c r="E361" s="8"/>
      <c r="F361" s="3"/>
      <c r="G361" s="3"/>
      <c r="H361" s="3"/>
      <c r="I361" s="8"/>
      <c r="J361" s="3"/>
      <c r="K361" s="3"/>
      <c r="L361" s="3"/>
      <c r="M361" s="3"/>
      <c r="N361" s="3"/>
      <c r="O361" s="3"/>
      <c r="P361" s="3"/>
      <c r="Q361" s="637"/>
      <c r="R361" s="3"/>
      <c r="S361" s="8"/>
      <c r="T361" s="3"/>
      <c r="U361" s="3"/>
      <c r="V361" s="3"/>
      <c r="W361" s="31"/>
      <c r="X361" s="3"/>
      <c r="Y361" s="3"/>
      <c r="Z361" s="3"/>
      <c r="AA361" s="637"/>
      <c r="AB361" s="8"/>
      <c r="AC361" s="637"/>
      <c r="AD361" s="8"/>
      <c r="AE361" s="637"/>
      <c r="AF361" s="3"/>
      <c r="AG361" s="3"/>
      <c r="AH361" s="3"/>
      <c r="AI361" s="8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22"/>
      <c r="AU361" s="22"/>
      <c r="AV361" s="22"/>
      <c r="AW361" s="22"/>
      <c r="AX361" s="8"/>
      <c r="AY361" s="3"/>
      <c r="AZ361" s="3"/>
      <c r="BA361" s="8"/>
    </row>
    <row x14ac:dyDescent="0.25" r="362" customHeight="1" ht="14.4">
      <c r="A362" s="440"/>
      <c r="B362" s="3"/>
      <c r="C362" s="3"/>
      <c r="D362" s="440"/>
      <c r="E362" s="8"/>
      <c r="F362" s="3"/>
      <c r="G362" s="3"/>
      <c r="H362" s="3"/>
      <c r="I362" s="8"/>
      <c r="J362" s="3"/>
      <c r="K362" s="3"/>
      <c r="L362" s="3"/>
      <c r="M362" s="3"/>
      <c r="N362" s="3"/>
      <c r="O362" s="3"/>
      <c r="P362" s="3"/>
      <c r="Q362" s="637"/>
      <c r="R362" s="3"/>
      <c r="S362" s="8"/>
      <c r="T362" s="3"/>
      <c r="U362" s="3"/>
      <c r="V362" s="3"/>
      <c r="W362" s="31"/>
      <c r="X362" s="3"/>
      <c r="Y362" s="3"/>
      <c r="Z362" s="3"/>
      <c r="AA362" s="637"/>
      <c r="AB362" s="8"/>
      <c r="AC362" s="637"/>
      <c r="AD362" s="8"/>
      <c r="AE362" s="637"/>
      <c r="AF362" s="3"/>
      <c r="AG362" s="3"/>
      <c r="AH362" s="3"/>
      <c r="AI362" s="8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22"/>
      <c r="AU362" s="22"/>
      <c r="AV362" s="22"/>
      <c r="AW362" s="22"/>
      <c r="AX362" s="8"/>
      <c r="AY362" s="3"/>
      <c r="AZ362" s="3"/>
      <c r="BA362" s="8"/>
    </row>
    <row x14ac:dyDescent="0.25" r="363" customHeight="1" ht="14.4">
      <c r="A363" s="440"/>
      <c r="B363" s="3"/>
      <c r="C363" s="3"/>
      <c r="D363" s="440"/>
      <c r="E363" s="8"/>
      <c r="F363" s="3"/>
      <c r="G363" s="3"/>
      <c r="H363" s="3"/>
      <c r="I363" s="8"/>
      <c r="J363" s="3"/>
      <c r="K363" s="3"/>
      <c r="L363" s="3"/>
      <c r="M363" s="3"/>
      <c r="N363" s="3"/>
      <c r="O363" s="3"/>
      <c r="P363" s="3"/>
      <c r="Q363" s="637"/>
      <c r="R363" s="3"/>
      <c r="S363" s="8"/>
      <c r="T363" s="3"/>
      <c r="U363" s="3"/>
      <c r="V363" s="3"/>
      <c r="W363" s="31"/>
      <c r="X363" s="3"/>
      <c r="Y363" s="3"/>
      <c r="Z363" s="3"/>
      <c r="AA363" s="637"/>
      <c r="AB363" s="8"/>
      <c r="AC363" s="637"/>
      <c r="AD363" s="8"/>
      <c r="AE363" s="637"/>
      <c r="AF363" s="3"/>
      <c r="AG363" s="3"/>
      <c r="AH363" s="3"/>
      <c r="AI363" s="8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22"/>
      <c r="AU363" s="22"/>
      <c r="AV363" s="22"/>
      <c r="AW363" s="22"/>
      <c r="AX363" s="8"/>
      <c r="AY363" s="3"/>
      <c r="AZ363" s="3"/>
      <c r="BA363" s="8"/>
    </row>
    <row x14ac:dyDescent="0.25" r="364" customHeight="1" ht="14.4">
      <c r="A364" s="440"/>
      <c r="B364" s="3"/>
      <c r="C364" s="3"/>
      <c r="D364" s="440"/>
      <c r="E364" s="8"/>
      <c r="F364" s="3"/>
      <c r="G364" s="3"/>
      <c r="H364" s="3"/>
      <c r="I364" s="8"/>
      <c r="J364" s="3"/>
      <c r="K364" s="3"/>
      <c r="L364" s="3"/>
      <c r="M364" s="3"/>
      <c r="N364" s="3"/>
      <c r="O364" s="3"/>
      <c r="P364" s="3"/>
      <c r="Q364" s="637"/>
      <c r="R364" s="3"/>
      <c r="S364" s="8"/>
      <c r="T364" s="3"/>
      <c r="U364" s="3"/>
      <c r="V364" s="3"/>
      <c r="W364" s="31"/>
      <c r="X364" s="3"/>
      <c r="Y364" s="3"/>
      <c r="Z364" s="3"/>
      <c r="AA364" s="637"/>
      <c r="AB364" s="8"/>
      <c r="AC364" s="637"/>
      <c r="AD364" s="8"/>
      <c r="AE364" s="637"/>
      <c r="AF364" s="3"/>
      <c r="AG364" s="3"/>
      <c r="AH364" s="3"/>
      <c r="AI364" s="8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22"/>
      <c r="AU364" s="22"/>
      <c r="AV364" s="22"/>
      <c r="AW364" s="22"/>
      <c r="AX364" s="8"/>
      <c r="AY364" s="3"/>
      <c r="AZ364" s="3"/>
      <c r="BA364" s="8"/>
    </row>
    <row x14ac:dyDescent="0.25" r="365" customHeight="1" ht="14.4">
      <c r="A365" s="440"/>
      <c r="B365" s="3"/>
      <c r="C365" s="3"/>
      <c r="D365" s="440"/>
      <c r="E365" s="8"/>
      <c r="F365" s="3"/>
      <c r="G365" s="3"/>
      <c r="H365" s="3"/>
      <c r="I365" s="8"/>
      <c r="J365" s="3"/>
      <c r="K365" s="3"/>
      <c r="L365" s="3"/>
      <c r="M365" s="3"/>
      <c r="N365" s="3"/>
      <c r="O365" s="3"/>
      <c r="P365" s="3"/>
      <c r="Q365" s="637"/>
      <c r="R365" s="3"/>
      <c r="S365" s="8"/>
      <c r="T365" s="3"/>
      <c r="U365" s="3"/>
      <c r="V365" s="3"/>
      <c r="W365" s="31"/>
      <c r="X365" s="3"/>
      <c r="Y365" s="3"/>
      <c r="Z365" s="3"/>
      <c r="AA365" s="637"/>
      <c r="AB365" s="8"/>
      <c r="AC365" s="637"/>
      <c r="AD365" s="8"/>
      <c r="AE365" s="637"/>
      <c r="AF365" s="3"/>
      <c r="AG365" s="3"/>
      <c r="AH365" s="3"/>
      <c r="AI365" s="8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22"/>
      <c r="AU365" s="22"/>
      <c r="AV365" s="22"/>
      <c r="AW365" s="22"/>
      <c r="AX365" s="8"/>
      <c r="AY365" s="3"/>
      <c r="AZ365" s="3"/>
      <c r="BA365" s="8"/>
    </row>
    <row x14ac:dyDescent="0.25" r="366" customHeight="1" ht="14.4">
      <c r="A366" s="440"/>
      <c r="B366" s="3"/>
      <c r="C366" s="3"/>
      <c r="D366" s="440"/>
      <c r="E366" s="8"/>
      <c r="F366" s="3"/>
      <c r="G366" s="3"/>
      <c r="H366" s="3"/>
      <c r="I366" s="8"/>
      <c r="J366" s="3"/>
      <c r="K366" s="3"/>
      <c r="L366" s="3"/>
      <c r="M366" s="3"/>
      <c r="N366" s="3"/>
      <c r="O366" s="3"/>
      <c r="P366" s="3"/>
      <c r="Q366" s="637"/>
      <c r="R366" s="3"/>
      <c r="S366" s="8"/>
      <c r="T366" s="3"/>
      <c r="U366" s="3"/>
      <c r="V366" s="3"/>
      <c r="W366" s="31"/>
      <c r="X366" s="3"/>
      <c r="Y366" s="3"/>
      <c r="Z366" s="3"/>
      <c r="AA366" s="637"/>
      <c r="AB366" s="8"/>
      <c r="AC366" s="637"/>
      <c r="AD366" s="8"/>
      <c r="AE366" s="637"/>
      <c r="AF366" s="3"/>
      <c r="AG366" s="3"/>
      <c r="AH366" s="3"/>
      <c r="AI366" s="8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22"/>
      <c r="AU366" s="22"/>
      <c r="AV366" s="22"/>
      <c r="AW366" s="22"/>
      <c r="AX366" s="8"/>
      <c r="AY366" s="3"/>
      <c r="AZ366" s="3"/>
      <c r="BA366" s="8"/>
    </row>
    <row x14ac:dyDescent="0.25" r="367" customHeight="1" ht="14.4">
      <c r="A367" s="440"/>
      <c r="B367" s="3"/>
      <c r="C367" s="3"/>
      <c r="D367" s="440"/>
      <c r="E367" s="8"/>
      <c r="F367" s="3"/>
      <c r="G367" s="3"/>
      <c r="H367" s="3"/>
      <c r="I367" s="8"/>
      <c r="J367" s="3"/>
      <c r="K367" s="3"/>
      <c r="L367" s="3"/>
      <c r="M367" s="3"/>
      <c r="N367" s="3"/>
      <c r="O367" s="3"/>
      <c r="P367" s="3"/>
      <c r="Q367" s="637"/>
      <c r="R367" s="3"/>
      <c r="S367" s="8"/>
      <c r="T367" s="3"/>
      <c r="U367" s="3"/>
      <c r="V367" s="3"/>
      <c r="W367" s="31"/>
      <c r="X367" s="3"/>
      <c r="Y367" s="3"/>
      <c r="Z367" s="3"/>
      <c r="AA367" s="637"/>
      <c r="AB367" s="8"/>
      <c r="AC367" s="637"/>
      <c r="AD367" s="8"/>
      <c r="AE367" s="637"/>
      <c r="AF367" s="3"/>
      <c r="AG367" s="3"/>
      <c r="AH367" s="3"/>
      <c r="AI367" s="8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22"/>
      <c r="AU367" s="22"/>
      <c r="AV367" s="22"/>
      <c r="AW367" s="22"/>
      <c r="AX367" s="8"/>
      <c r="AY367" s="3"/>
      <c r="AZ367" s="3"/>
      <c r="BA367" s="8"/>
    </row>
    <row x14ac:dyDescent="0.25" r="368" customHeight="1" ht="14.4">
      <c r="A368" s="440"/>
      <c r="B368" s="3"/>
      <c r="C368" s="3"/>
      <c r="D368" s="440"/>
      <c r="E368" s="8"/>
      <c r="F368" s="3"/>
      <c r="G368" s="3"/>
      <c r="H368" s="3"/>
      <c r="I368" s="8"/>
      <c r="J368" s="3"/>
      <c r="K368" s="3"/>
      <c r="L368" s="3"/>
      <c r="M368" s="3"/>
      <c r="N368" s="3"/>
      <c r="O368" s="3"/>
      <c r="P368" s="3"/>
      <c r="Q368" s="637"/>
      <c r="R368" s="3"/>
      <c r="S368" s="8"/>
      <c r="T368" s="3"/>
      <c r="U368" s="3"/>
      <c r="V368" s="3"/>
      <c r="W368" s="31"/>
      <c r="X368" s="3"/>
      <c r="Y368" s="3"/>
      <c r="Z368" s="3"/>
      <c r="AA368" s="637"/>
      <c r="AB368" s="8"/>
      <c r="AC368" s="637"/>
      <c r="AD368" s="8"/>
      <c r="AE368" s="637"/>
      <c r="AF368" s="3"/>
      <c r="AG368" s="3"/>
      <c r="AH368" s="3"/>
      <c r="AI368" s="8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22"/>
      <c r="AU368" s="22"/>
      <c r="AV368" s="22"/>
      <c r="AW368" s="22"/>
      <c r="AX368" s="8"/>
      <c r="AY368" s="3"/>
      <c r="AZ368" s="3"/>
      <c r="BA368" s="8"/>
    </row>
    <row x14ac:dyDescent="0.25" r="369" customHeight="1" ht="14.4">
      <c r="A369" s="440"/>
      <c r="B369" s="3"/>
      <c r="C369" s="3"/>
      <c r="D369" s="440"/>
      <c r="E369" s="8"/>
      <c r="F369" s="3"/>
      <c r="G369" s="3"/>
      <c r="H369" s="3"/>
      <c r="I369" s="8"/>
      <c r="J369" s="3"/>
      <c r="K369" s="3"/>
      <c r="L369" s="3"/>
      <c r="M369" s="3"/>
      <c r="N369" s="3"/>
      <c r="O369" s="3"/>
      <c r="P369" s="3"/>
      <c r="Q369" s="637"/>
      <c r="R369" s="3"/>
      <c r="S369" s="8"/>
      <c r="T369" s="3"/>
      <c r="U369" s="3"/>
      <c r="V369" s="3"/>
      <c r="W369" s="31"/>
      <c r="X369" s="3"/>
      <c r="Y369" s="3"/>
      <c r="Z369" s="3"/>
      <c r="AA369" s="637"/>
      <c r="AB369" s="8"/>
      <c r="AC369" s="637"/>
      <c r="AD369" s="8"/>
      <c r="AE369" s="637"/>
      <c r="AF369" s="3"/>
      <c r="AG369" s="3"/>
      <c r="AH369" s="3"/>
      <c r="AI369" s="8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22"/>
      <c r="AU369" s="22"/>
      <c r="AV369" s="22"/>
      <c r="AW369" s="22"/>
      <c r="AX369" s="8"/>
      <c r="AY369" s="3"/>
      <c r="AZ369" s="3"/>
      <c r="BA369" s="8"/>
    </row>
    <row x14ac:dyDescent="0.25" r="370" customHeight="1" ht="14.4">
      <c r="A370" s="440"/>
      <c r="B370" s="3"/>
      <c r="C370" s="3"/>
      <c r="D370" s="440"/>
      <c r="E370" s="8"/>
      <c r="F370" s="3"/>
      <c r="G370" s="3"/>
      <c r="H370" s="3"/>
      <c r="I370" s="8"/>
      <c r="J370" s="3"/>
      <c r="K370" s="3"/>
      <c r="L370" s="3"/>
      <c r="M370" s="3"/>
      <c r="N370" s="3"/>
      <c r="O370" s="3"/>
      <c r="P370" s="3"/>
      <c r="Q370" s="637"/>
      <c r="R370" s="3"/>
      <c r="S370" s="8"/>
      <c r="T370" s="3"/>
      <c r="U370" s="3"/>
      <c r="V370" s="3"/>
      <c r="W370" s="31"/>
      <c r="X370" s="3"/>
      <c r="Y370" s="3"/>
      <c r="Z370" s="3"/>
      <c r="AA370" s="637"/>
      <c r="AB370" s="8"/>
      <c r="AC370" s="637"/>
      <c r="AD370" s="8"/>
      <c r="AE370" s="637"/>
      <c r="AF370" s="3"/>
      <c r="AG370" s="3"/>
      <c r="AH370" s="3"/>
      <c r="AI370" s="8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22"/>
      <c r="AU370" s="22"/>
      <c r="AV370" s="22"/>
      <c r="AW370" s="22"/>
      <c r="AX370" s="8"/>
      <c r="AY370" s="3"/>
      <c r="AZ370" s="3"/>
      <c r="BA370" s="8"/>
    </row>
    <row x14ac:dyDescent="0.25" r="371" customHeight="1" ht="14.4">
      <c r="A371" s="440"/>
      <c r="B371" s="3"/>
      <c r="C371" s="3"/>
      <c r="D371" s="440"/>
      <c r="E371" s="8"/>
      <c r="F371" s="3"/>
      <c r="G371" s="3"/>
      <c r="H371" s="3"/>
      <c r="I371" s="8"/>
      <c r="J371" s="3"/>
      <c r="K371" s="3"/>
      <c r="L371" s="3"/>
      <c r="M371" s="3"/>
      <c r="N371" s="3"/>
      <c r="O371" s="3"/>
      <c r="P371" s="3"/>
      <c r="Q371" s="637"/>
      <c r="R371" s="3"/>
      <c r="S371" s="8"/>
      <c r="T371" s="3"/>
      <c r="U371" s="3"/>
      <c r="V371" s="3"/>
      <c r="W371" s="31"/>
      <c r="X371" s="3"/>
      <c r="Y371" s="3"/>
      <c r="Z371" s="3"/>
      <c r="AA371" s="637"/>
      <c r="AB371" s="8"/>
      <c r="AC371" s="637"/>
      <c r="AD371" s="8"/>
      <c r="AE371" s="637"/>
      <c r="AF371" s="3"/>
      <c r="AG371" s="3"/>
      <c r="AH371" s="3"/>
      <c r="AI371" s="8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22"/>
      <c r="AU371" s="22"/>
      <c r="AV371" s="22"/>
      <c r="AW371" s="22"/>
      <c r="AX371" s="8"/>
      <c r="AY371" s="3"/>
      <c r="AZ371" s="3"/>
      <c r="BA371" s="8"/>
    </row>
    <row x14ac:dyDescent="0.25" r="372" customHeight="1" ht="14.4">
      <c r="A372" s="440"/>
      <c r="B372" s="3"/>
      <c r="C372" s="3"/>
      <c r="D372" s="440"/>
      <c r="E372" s="8"/>
      <c r="F372" s="3"/>
      <c r="G372" s="3"/>
      <c r="H372" s="3"/>
      <c r="I372" s="8"/>
      <c r="J372" s="3"/>
      <c r="K372" s="3"/>
      <c r="L372" s="3"/>
      <c r="M372" s="3"/>
      <c r="N372" s="3"/>
      <c r="O372" s="3"/>
      <c r="P372" s="3"/>
      <c r="Q372" s="637"/>
      <c r="R372" s="3"/>
      <c r="S372" s="8"/>
      <c r="T372" s="3"/>
      <c r="U372" s="3"/>
      <c r="V372" s="3"/>
      <c r="W372" s="31"/>
      <c r="X372" s="3"/>
      <c r="Y372" s="3"/>
      <c r="Z372" s="3"/>
      <c r="AA372" s="637"/>
      <c r="AB372" s="8"/>
      <c r="AC372" s="637"/>
      <c r="AD372" s="8"/>
      <c r="AE372" s="637"/>
      <c r="AF372" s="3"/>
      <c r="AG372" s="3"/>
      <c r="AH372" s="3"/>
      <c r="AI372" s="8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22"/>
      <c r="AU372" s="22"/>
      <c r="AV372" s="22"/>
      <c r="AW372" s="22"/>
      <c r="AX372" s="8"/>
      <c r="AY372" s="3"/>
      <c r="AZ372" s="3"/>
      <c r="BA372" s="8"/>
    </row>
    <row x14ac:dyDescent="0.25" r="373" customHeight="1" ht="14.4">
      <c r="A373" s="440"/>
      <c r="B373" s="3"/>
      <c r="C373" s="3"/>
      <c r="D373" s="440"/>
      <c r="E373" s="8"/>
      <c r="F373" s="3"/>
      <c r="G373" s="3"/>
      <c r="H373" s="3"/>
      <c r="I373" s="8"/>
      <c r="J373" s="3"/>
      <c r="K373" s="3"/>
      <c r="L373" s="3"/>
      <c r="M373" s="3"/>
      <c r="N373" s="3"/>
      <c r="O373" s="3"/>
      <c r="P373" s="3"/>
      <c r="Q373" s="637"/>
      <c r="R373" s="3"/>
      <c r="S373" s="8"/>
      <c r="T373" s="3"/>
      <c r="U373" s="3"/>
      <c r="V373" s="3"/>
      <c r="W373" s="31"/>
      <c r="X373" s="3"/>
      <c r="Y373" s="3"/>
      <c r="Z373" s="3"/>
      <c r="AA373" s="637"/>
      <c r="AB373" s="8"/>
      <c r="AC373" s="637"/>
      <c r="AD373" s="8"/>
      <c r="AE373" s="637"/>
      <c r="AF373" s="3"/>
      <c r="AG373" s="3"/>
      <c r="AH373" s="3"/>
      <c r="AI373" s="8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22"/>
      <c r="AU373" s="22"/>
      <c r="AV373" s="22"/>
      <c r="AW373" s="22"/>
      <c r="AX373" s="8"/>
      <c r="AY373" s="3"/>
      <c r="AZ373" s="3"/>
      <c r="BA373" s="8"/>
    </row>
    <row x14ac:dyDescent="0.25" r="374" customHeight="1" ht="14.4">
      <c r="A374" s="440"/>
      <c r="B374" s="3"/>
      <c r="C374" s="3"/>
      <c r="D374" s="440"/>
      <c r="E374" s="8"/>
      <c r="F374" s="3"/>
      <c r="G374" s="3"/>
      <c r="H374" s="3"/>
      <c r="I374" s="8"/>
      <c r="J374" s="3"/>
      <c r="K374" s="3"/>
      <c r="L374" s="3"/>
      <c r="M374" s="3"/>
      <c r="N374" s="3"/>
      <c r="O374" s="3"/>
      <c r="P374" s="3"/>
      <c r="Q374" s="637"/>
      <c r="R374" s="3"/>
      <c r="S374" s="8"/>
      <c r="T374" s="3"/>
      <c r="U374" s="3"/>
      <c r="V374" s="3"/>
      <c r="W374" s="31"/>
      <c r="X374" s="3"/>
      <c r="Y374" s="3"/>
      <c r="Z374" s="3"/>
      <c r="AA374" s="637"/>
      <c r="AB374" s="8"/>
      <c r="AC374" s="637"/>
      <c r="AD374" s="8"/>
      <c r="AE374" s="637"/>
      <c r="AF374" s="3"/>
      <c r="AG374" s="3"/>
      <c r="AH374" s="3"/>
      <c r="AI374" s="8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22"/>
      <c r="AU374" s="22"/>
      <c r="AV374" s="22"/>
      <c r="AW374" s="22"/>
      <c r="AX374" s="8"/>
      <c r="AY374" s="3"/>
      <c r="AZ374" s="3"/>
      <c r="BA374" s="8"/>
    </row>
    <row x14ac:dyDescent="0.25" r="375" customHeight="1" ht="14.4">
      <c r="A375" s="440"/>
      <c r="B375" s="3"/>
      <c r="C375" s="3"/>
      <c r="D375" s="440"/>
      <c r="E375" s="8"/>
      <c r="F375" s="3"/>
      <c r="G375" s="3"/>
      <c r="H375" s="3"/>
      <c r="I375" s="8"/>
      <c r="J375" s="3"/>
      <c r="K375" s="3"/>
      <c r="L375" s="3"/>
      <c r="M375" s="3"/>
      <c r="N375" s="3"/>
      <c r="O375" s="3"/>
      <c r="P375" s="3"/>
      <c r="Q375" s="637"/>
      <c r="R375" s="3"/>
      <c r="S375" s="8"/>
      <c r="T375" s="3"/>
      <c r="U375" s="3"/>
      <c r="V375" s="3"/>
      <c r="W375" s="31"/>
      <c r="X375" s="3"/>
      <c r="Y375" s="3"/>
      <c r="Z375" s="3"/>
      <c r="AA375" s="637"/>
      <c r="AB375" s="8"/>
      <c r="AC375" s="637"/>
      <c r="AD375" s="8"/>
      <c r="AE375" s="637"/>
      <c r="AF375" s="3"/>
      <c r="AG375" s="3"/>
      <c r="AH375" s="3"/>
      <c r="AI375" s="8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22"/>
      <c r="AU375" s="22"/>
      <c r="AV375" s="22"/>
      <c r="AW375" s="22"/>
      <c r="AX375" s="8"/>
      <c r="AY375" s="3"/>
      <c r="AZ375" s="3"/>
      <c r="BA375" s="8"/>
    </row>
    <row x14ac:dyDescent="0.25" r="376" customHeight="1" ht="14.4">
      <c r="A376" s="440"/>
      <c r="B376" s="3"/>
      <c r="C376" s="3"/>
      <c r="D376" s="440"/>
      <c r="E376" s="8"/>
      <c r="F376" s="3"/>
      <c r="G376" s="3"/>
      <c r="H376" s="3"/>
      <c r="I376" s="8"/>
      <c r="J376" s="3"/>
      <c r="K376" s="3"/>
      <c r="L376" s="3"/>
      <c r="M376" s="3"/>
      <c r="N376" s="3"/>
      <c r="O376" s="3"/>
      <c r="P376" s="3"/>
      <c r="Q376" s="637"/>
      <c r="R376" s="3"/>
      <c r="S376" s="8"/>
      <c r="T376" s="3"/>
      <c r="U376" s="3"/>
      <c r="V376" s="3"/>
      <c r="W376" s="31"/>
      <c r="X376" s="3"/>
      <c r="Y376" s="3"/>
      <c r="Z376" s="3"/>
      <c r="AA376" s="637"/>
      <c r="AB376" s="8"/>
      <c r="AC376" s="637"/>
      <c r="AD376" s="8"/>
      <c r="AE376" s="637"/>
      <c r="AF376" s="3"/>
      <c r="AG376" s="3"/>
      <c r="AH376" s="3"/>
      <c r="AI376" s="8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22"/>
      <c r="AU376" s="22"/>
      <c r="AV376" s="22"/>
      <c r="AW376" s="22"/>
      <c r="AX376" s="8"/>
      <c r="AY376" s="3"/>
      <c r="AZ376" s="3"/>
      <c r="BA376" s="8"/>
    </row>
    <row x14ac:dyDescent="0.25" r="377" customHeight="1" ht="14.4">
      <c r="A377" s="440"/>
      <c r="B377" s="3"/>
      <c r="C377" s="3"/>
      <c r="D377" s="440"/>
      <c r="E377" s="8"/>
      <c r="F377" s="3"/>
      <c r="G377" s="3"/>
      <c r="H377" s="3"/>
      <c r="I377" s="8"/>
      <c r="J377" s="3"/>
      <c r="K377" s="3"/>
      <c r="L377" s="3"/>
      <c r="M377" s="3"/>
      <c r="N377" s="3"/>
      <c r="O377" s="3"/>
      <c r="P377" s="3"/>
      <c r="Q377" s="637"/>
      <c r="R377" s="3"/>
      <c r="S377" s="8"/>
      <c r="T377" s="3"/>
      <c r="U377" s="3"/>
      <c r="V377" s="3"/>
      <c r="W377" s="31"/>
      <c r="X377" s="3"/>
      <c r="Y377" s="3"/>
      <c r="Z377" s="3"/>
      <c r="AA377" s="637"/>
      <c r="AB377" s="8"/>
      <c r="AC377" s="637"/>
      <c r="AD377" s="8"/>
      <c r="AE377" s="637"/>
      <c r="AF377" s="3"/>
      <c r="AG377" s="3"/>
      <c r="AH377" s="3"/>
      <c r="AI377" s="8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22"/>
      <c r="AU377" s="22"/>
      <c r="AV377" s="22"/>
      <c r="AW377" s="22"/>
      <c r="AX377" s="8"/>
      <c r="AY377" s="3"/>
      <c r="AZ377" s="3"/>
      <c r="BA377" s="8"/>
    </row>
    <row x14ac:dyDescent="0.25" r="378" customHeight="1" ht="14.4">
      <c r="A378" s="440"/>
      <c r="B378" s="3"/>
      <c r="C378" s="3"/>
      <c r="D378" s="440"/>
      <c r="E378" s="8"/>
      <c r="F378" s="3"/>
      <c r="G378" s="3"/>
      <c r="H378" s="3"/>
      <c r="I378" s="8"/>
      <c r="J378" s="3"/>
      <c r="K378" s="3"/>
      <c r="L378" s="3"/>
      <c r="M378" s="3"/>
      <c r="N378" s="3"/>
      <c r="O378" s="3"/>
      <c r="P378" s="3"/>
      <c r="Q378" s="637"/>
      <c r="R378" s="3"/>
      <c r="S378" s="8"/>
      <c r="T378" s="3"/>
      <c r="U378" s="3"/>
      <c r="V378" s="3"/>
      <c r="W378" s="31"/>
      <c r="X378" s="3"/>
      <c r="Y378" s="3"/>
      <c r="Z378" s="3"/>
      <c r="AA378" s="637"/>
      <c r="AB378" s="8"/>
      <c r="AC378" s="637"/>
      <c r="AD378" s="8"/>
      <c r="AE378" s="637"/>
      <c r="AF378" s="3"/>
      <c r="AG378" s="3"/>
      <c r="AH378" s="3"/>
      <c r="AI378" s="8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22"/>
      <c r="AU378" s="22"/>
      <c r="AV378" s="22"/>
      <c r="AW378" s="22"/>
      <c r="AX378" s="8"/>
      <c r="AY378" s="3"/>
      <c r="AZ378" s="3"/>
      <c r="BA378" s="8"/>
    </row>
    <row x14ac:dyDescent="0.25" r="379" customHeight="1" ht="14.4">
      <c r="A379" s="440"/>
      <c r="B379" s="3"/>
      <c r="C379" s="3"/>
      <c r="D379" s="440"/>
      <c r="E379" s="8"/>
      <c r="F379" s="3"/>
      <c r="G379" s="3"/>
      <c r="H379" s="3"/>
      <c r="I379" s="8"/>
      <c r="J379" s="3"/>
      <c r="K379" s="3"/>
      <c r="L379" s="3"/>
      <c r="M379" s="3"/>
      <c r="N379" s="3"/>
      <c r="O379" s="3"/>
      <c r="P379" s="3"/>
      <c r="Q379" s="637"/>
      <c r="R379" s="3"/>
      <c r="S379" s="8"/>
      <c r="T379" s="3"/>
      <c r="U379" s="3"/>
      <c r="V379" s="3"/>
      <c r="W379" s="31"/>
      <c r="X379" s="3"/>
      <c r="Y379" s="3"/>
      <c r="Z379" s="3"/>
      <c r="AA379" s="637"/>
      <c r="AB379" s="8"/>
      <c r="AC379" s="637"/>
      <c r="AD379" s="8"/>
      <c r="AE379" s="637"/>
      <c r="AF379" s="3"/>
      <c r="AG379" s="3"/>
      <c r="AH379" s="3"/>
      <c r="AI379" s="8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22"/>
      <c r="AU379" s="22"/>
      <c r="AV379" s="22"/>
      <c r="AW379" s="22"/>
      <c r="AX379" s="8"/>
      <c r="AY379" s="3"/>
      <c r="AZ379" s="3"/>
      <c r="BA379" s="8"/>
    </row>
    <row x14ac:dyDescent="0.25" r="380" customHeight="1" ht="14.4">
      <c r="A380" s="440"/>
      <c r="B380" s="3"/>
      <c r="C380" s="3"/>
      <c r="D380" s="440"/>
      <c r="E380" s="8"/>
      <c r="F380" s="3"/>
      <c r="G380" s="3"/>
      <c r="H380" s="3"/>
      <c r="I380" s="8"/>
      <c r="J380" s="3"/>
      <c r="K380" s="3"/>
      <c r="L380" s="3"/>
      <c r="M380" s="3"/>
      <c r="N380" s="3"/>
      <c r="O380" s="3"/>
      <c r="P380" s="3"/>
      <c r="Q380" s="637"/>
      <c r="R380" s="3"/>
      <c r="S380" s="8"/>
      <c r="T380" s="3"/>
      <c r="U380" s="3"/>
      <c r="V380" s="3"/>
      <c r="W380" s="31"/>
      <c r="X380" s="3"/>
      <c r="Y380" s="3"/>
      <c r="Z380" s="3"/>
      <c r="AA380" s="637"/>
      <c r="AB380" s="8"/>
      <c r="AC380" s="637"/>
      <c r="AD380" s="8"/>
      <c r="AE380" s="637"/>
      <c r="AF380" s="3"/>
      <c r="AG380" s="3"/>
      <c r="AH380" s="3"/>
      <c r="AI380" s="8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22"/>
      <c r="AU380" s="22"/>
      <c r="AV380" s="22"/>
      <c r="AW380" s="22"/>
      <c r="AX380" s="8"/>
      <c r="AY380" s="3"/>
      <c r="AZ380" s="3"/>
      <c r="BA380" s="8"/>
    </row>
    <row x14ac:dyDescent="0.25" r="381" customHeight="1" ht="14.4">
      <c r="A381" s="440"/>
      <c r="B381" s="3"/>
      <c r="C381" s="3"/>
      <c r="D381" s="440"/>
      <c r="E381" s="8"/>
      <c r="F381" s="3"/>
      <c r="G381" s="3"/>
      <c r="H381" s="3"/>
      <c r="I381" s="8"/>
      <c r="J381" s="3"/>
      <c r="K381" s="3"/>
      <c r="L381" s="3"/>
      <c r="M381" s="3"/>
      <c r="N381" s="3"/>
      <c r="O381" s="3"/>
      <c r="P381" s="3"/>
      <c r="Q381" s="637"/>
      <c r="R381" s="3"/>
      <c r="S381" s="8"/>
      <c r="T381" s="3"/>
      <c r="U381" s="3"/>
      <c r="V381" s="3"/>
      <c r="W381" s="31"/>
      <c r="X381" s="3"/>
      <c r="Y381" s="3"/>
      <c r="Z381" s="3"/>
      <c r="AA381" s="637"/>
      <c r="AB381" s="8"/>
      <c r="AC381" s="637"/>
      <c r="AD381" s="8"/>
      <c r="AE381" s="637"/>
      <c r="AF381" s="3"/>
      <c r="AG381" s="3"/>
      <c r="AH381" s="3"/>
      <c r="AI381" s="8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22"/>
      <c r="AU381" s="22"/>
      <c r="AV381" s="22"/>
      <c r="AW381" s="22"/>
      <c r="AX381" s="8"/>
      <c r="AY381" s="3"/>
      <c r="AZ381" s="3"/>
      <c r="BA381" s="8"/>
    </row>
    <row x14ac:dyDescent="0.25" r="382" customHeight="1" ht="14.4">
      <c r="A382" s="440"/>
      <c r="B382" s="3"/>
      <c r="C382" s="3"/>
      <c r="D382" s="440"/>
      <c r="E382" s="8"/>
      <c r="F382" s="3"/>
      <c r="G382" s="3"/>
      <c r="H382" s="3"/>
      <c r="I382" s="8"/>
      <c r="J382" s="3"/>
      <c r="K382" s="3"/>
      <c r="L382" s="3"/>
      <c r="M382" s="3"/>
      <c r="N382" s="3"/>
      <c r="O382" s="3"/>
      <c r="P382" s="3"/>
      <c r="Q382" s="637"/>
      <c r="R382" s="3"/>
      <c r="S382" s="8"/>
      <c r="T382" s="3"/>
      <c r="U382" s="3"/>
      <c r="V382" s="3"/>
      <c r="W382" s="31"/>
      <c r="X382" s="3"/>
      <c r="Y382" s="3"/>
      <c r="Z382" s="3"/>
      <c r="AA382" s="637"/>
      <c r="AB382" s="8"/>
      <c r="AC382" s="637"/>
      <c r="AD382" s="8"/>
      <c r="AE382" s="637"/>
      <c r="AF382" s="3"/>
      <c r="AG382" s="3"/>
      <c r="AH382" s="3"/>
      <c r="AI382" s="8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22"/>
      <c r="AU382" s="22"/>
      <c r="AV382" s="22"/>
      <c r="AW382" s="22"/>
      <c r="AX382" s="8"/>
      <c r="AY382" s="3"/>
      <c r="AZ382" s="3"/>
      <c r="BA382" s="8"/>
    </row>
    <row x14ac:dyDescent="0.25" r="383" customHeight="1" ht="14.4">
      <c r="A383" s="440"/>
      <c r="B383" s="3"/>
      <c r="C383" s="3"/>
      <c r="D383" s="440"/>
      <c r="E383" s="8"/>
      <c r="F383" s="3"/>
      <c r="G383" s="3"/>
      <c r="H383" s="3"/>
      <c r="I383" s="8"/>
      <c r="J383" s="3"/>
      <c r="K383" s="3"/>
      <c r="L383" s="3"/>
      <c r="M383" s="3"/>
      <c r="N383" s="3"/>
      <c r="O383" s="3"/>
      <c r="P383" s="3"/>
      <c r="Q383" s="637"/>
      <c r="R383" s="3"/>
      <c r="S383" s="8"/>
      <c r="T383" s="3"/>
      <c r="U383" s="3"/>
      <c r="V383" s="3"/>
      <c r="W383" s="31"/>
      <c r="X383" s="3"/>
      <c r="Y383" s="3"/>
      <c r="Z383" s="3"/>
      <c r="AA383" s="637"/>
      <c r="AB383" s="8"/>
      <c r="AC383" s="637"/>
      <c r="AD383" s="8"/>
      <c r="AE383" s="637"/>
      <c r="AF383" s="3"/>
      <c r="AG383" s="3"/>
      <c r="AH383" s="3"/>
      <c r="AI383" s="8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22"/>
      <c r="AU383" s="22"/>
      <c r="AV383" s="22"/>
      <c r="AW383" s="22"/>
      <c r="AX383" s="8"/>
      <c r="AY383" s="3"/>
      <c r="AZ383" s="3"/>
      <c r="BA383" s="8"/>
    </row>
    <row x14ac:dyDescent="0.25" r="384" customHeight="1" ht="14.4">
      <c r="A384" s="440"/>
      <c r="B384" s="3"/>
      <c r="C384" s="3"/>
      <c r="D384" s="440"/>
      <c r="E384" s="8"/>
      <c r="F384" s="3"/>
      <c r="G384" s="3"/>
      <c r="H384" s="3"/>
      <c r="I384" s="8"/>
      <c r="J384" s="3"/>
      <c r="K384" s="3"/>
      <c r="L384" s="3"/>
      <c r="M384" s="3"/>
      <c r="N384" s="3"/>
      <c r="O384" s="3"/>
      <c r="P384" s="3"/>
      <c r="Q384" s="637"/>
      <c r="R384" s="3"/>
      <c r="S384" s="8"/>
      <c r="T384" s="3"/>
      <c r="U384" s="3"/>
      <c r="V384" s="3"/>
      <c r="W384" s="31"/>
      <c r="X384" s="3"/>
      <c r="Y384" s="3"/>
      <c r="Z384" s="3"/>
      <c r="AA384" s="637"/>
      <c r="AB384" s="8"/>
      <c r="AC384" s="637"/>
      <c r="AD384" s="8"/>
      <c r="AE384" s="637"/>
      <c r="AF384" s="3"/>
      <c r="AG384" s="3"/>
      <c r="AH384" s="3"/>
      <c r="AI384" s="8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22"/>
      <c r="AU384" s="22"/>
      <c r="AV384" s="22"/>
      <c r="AW384" s="22"/>
      <c r="AX384" s="8"/>
      <c r="AY384" s="3"/>
      <c r="AZ384" s="3"/>
      <c r="BA384" s="8"/>
    </row>
    <row x14ac:dyDescent="0.25" r="385" customHeight="1" ht="14.4">
      <c r="A385" s="440"/>
      <c r="B385" s="3"/>
      <c r="C385" s="3"/>
      <c r="D385" s="440"/>
      <c r="E385" s="8"/>
      <c r="F385" s="3"/>
      <c r="G385" s="3"/>
      <c r="H385" s="3"/>
      <c r="I385" s="8"/>
      <c r="J385" s="3"/>
      <c r="K385" s="3"/>
      <c r="L385" s="3"/>
      <c r="M385" s="3"/>
      <c r="N385" s="3"/>
      <c r="O385" s="3"/>
      <c r="P385" s="3"/>
      <c r="Q385" s="637"/>
      <c r="R385" s="3"/>
      <c r="S385" s="8"/>
      <c r="T385" s="3"/>
      <c r="U385" s="3"/>
      <c r="V385" s="3"/>
      <c r="W385" s="31"/>
      <c r="X385" s="3"/>
      <c r="Y385" s="3"/>
      <c r="Z385" s="3"/>
      <c r="AA385" s="637"/>
      <c r="AB385" s="8"/>
      <c r="AC385" s="637"/>
      <c r="AD385" s="8"/>
      <c r="AE385" s="637"/>
      <c r="AF385" s="3"/>
      <c r="AG385" s="3"/>
      <c r="AH385" s="3"/>
      <c r="AI385" s="8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22"/>
      <c r="AU385" s="22"/>
      <c r="AV385" s="22"/>
      <c r="AW385" s="22"/>
      <c r="AX385" s="8"/>
      <c r="AY385" s="3"/>
      <c r="AZ385" s="3"/>
      <c r="BA385" s="8"/>
    </row>
    <row x14ac:dyDescent="0.25" r="386" customHeight="1" ht="14.4">
      <c r="A386" s="440"/>
      <c r="B386" s="3"/>
      <c r="C386" s="3"/>
      <c r="D386" s="440"/>
      <c r="E386" s="8"/>
      <c r="F386" s="3"/>
      <c r="G386" s="3"/>
      <c r="H386" s="3"/>
      <c r="I386" s="8"/>
      <c r="J386" s="3"/>
      <c r="K386" s="3"/>
      <c r="L386" s="3"/>
      <c r="M386" s="3"/>
      <c r="N386" s="3"/>
      <c r="O386" s="3"/>
      <c r="P386" s="3"/>
      <c r="Q386" s="637"/>
      <c r="R386" s="3"/>
      <c r="S386" s="8"/>
      <c r="T386" s="3"/>
      <c r="U386" s="3"/>
      <c r="V386" s="3"/>
      <c r="W386" s="31"/>
      <c r="X386" s="3"/>
      <c r="Y386" s="3"/>
      <c r="Z386" s="3"/>
      <c r="AA386" s="637"/>
      <c r="AB386" s="8"/>
      <c r="AC386" s="637"/>
      <c r="AD386" s="8"/>
      <c r="AE386" s="637"/>
      <c r="AF386" s="3"/>
      <c r="AG386" s="3"/>
      <c r="AH386" s="3"/>
      <c r="AI386" s="8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22"/>
      <c r="AU386" s="22"/>
      <c r="AV386" s="22"/>
      <c r="AW386" s="22"/>
      <c r="AX386" s="8"/>
      <c r="AY386" s="3"/>
      <c r="AZ386" s="3"/>
      <c r="BA386" s="8"/>
    </row>
    <row x14ac:dyDescent="0.25" r="387" customHeight="1" ht="14.4">
      <c r="A387" s="440"/>
      <c r="B387" s="3"/>
      <c r="C387" s="3"/>
      <c r="D387" s="440"/>
      <c r="E387" s="8"/>
      <c r="F387" s="3"/>
      <c r="G387" s="3"/>
      <c r="H387" s="3"/>
      <c r="I387" s="8"/>
      <c r="J387" s="3"/>
      <c r="K387" s="3"/>
      <c r="L387" s="3"/>
      <c r="M387" s="3"/>
      <c r="N387" s="3"/>
      <c r="O387" s="3"/>
      <c r="P387" s="3"/>
      <c r="Q387" s="637"/>
      <c r="R387" s="3"/>
      <c r="S387" s="8"/>
      <c r="T387" s="3"/>
      <c r="U387" s="3"/>
      <c r="V387" s="3"/>
      <c r="W387" s="31"/>
      <c r="X387" s="3"/>
      <c r="Y387" s="3"/>
      <c r="Z387" s="3"/>
      <c r="AA387" s="637"/>
      <c r="AB387" s="8"/>
      <c r="AC387" s="637"/>
      <c r="AD387" s="8"/>
      <c r="AE387" s="637"/>
      <c r="AF387" s="3"/>
      <c r="AG387" s="3"/>
      <c r="AH387" s="3"/>
      <c r="AI387" s="8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22"/>
      <c r="AU387" s="22"/>
      <c r="AV387" s="22"/>
      <c r="AW387" s="22"/>
      <c r="AX387" s="8"/>
      <c r="AY387" s="3"/>
      <c r="AZ387" s="3"/>
      <c r="BA387" s="8"/>
    </row>
    <row x14ac:dyDescent="0.25" r="388" customHeight="1" ht="14.4">
      <c r="A388" s="440"/>
      <c r="B388" s="3"/>
      <c r="C388" s="3"/>
      <c r="D388" s="440"/>
      <c r="E388" s="8"/>
      <c r="F388" s="3"/>
      <c r="G388" s="3"/>
      <c r="H388" s="3"/>
      <c r="I388" s="8"/>
      <c r="J388" s="3"/>
      <c r="K388" s="3"/>
      <c r="L388" s="3"/>
      <c r="M388" s="3"/>
      <c r="N388" s="3"/>
      <c r="O388" s="3"/>
      <c r="P388" s="3"/>
      <c r="Q388" s="637"/>
      <c r="R388" s="3"/>
      <c r="S388" s="8"/>
      <c r="T388" s="3"/>
      <c r="U388" s="3"/>
      <c r="V388" s="3"/>
      <c r="W388" s="31"/>
      <c r="X388" s="3"/>
      <c r="Y388" s="3"/>
      <c r="Z388" s="3"/>
      <c r="AA388" s="637"/>
      <c r="AB388" s="8"/>
      <c r="AC388" s="637"/>
      <c r="AD388" s="8"/>
      <c r="AE388" s="637"/>
      <c r="AF388" s="3"/>
      <c r="AG388" s="3"/>
      <c r="AH388" s="3"/>
      <c r="AI388" s="8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22"/>
      <c r="AU388" s="22"/>
      <c r="AV388" s="22"/>
      <c r="AW388" s="22"/>
      <c r="AX388" s="8"/>
      <c r="AY388" s="3"/>
      <c r="AZ388" s="3"/>
      <c r="BA388" s="8"/>
    </row>
    <row x14ac:dyDescent="0.25" r="389" customHeight="1" ht="14.4">
      <c r="A389" s="440"/>
      <c r="B389" s="3"/>
      <c r="C389" s="3"/>
      <c r="D389" s="440"/>
      <c r="E389" s="8"/>
      <c r="F389" s="3"/>
      <c r="G389" s="3"/>
      <c r="H389" s="3"/>
      <c r="I389" s="8"/>
      <c r="J389" s="3"/>
      <c r="K389" s="3"/>
      <c r="L389" s="3"/>
      <c r="M389" s="3"/>
      <c r="N389" s="3"/>
      <c r="O389" s="3"/>
      <c r="P389" s="3"/>
      <c r="Q389" s="637"/>
      <c r="R389" s="3"/>
      <c r="S389" s="8"/>
      <c r="T389" s="3"/>
      <c r="U389" s="3"/>
      <c r="V389" s="3"/>
      <c r="W389" s="31"/>
      <c r="X389" s="3"/>
      <c r="Y389" s="3"/>
      <c r="Z389" s="3"/>
      <c r="AA389" s="637"/>
      <c r="AB389" s="8"/>
      <c r="AC389" s="637"/>
      <c r="AD389" s="8"/>
      <c r="AE389" s="637"/>
      <c r="AF389" s="3"/>
      <c r="AG389" s="3"/>
      <c r="AH389" s="3"/>
      <c r="AI389" s="8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22"/>
      <c r="AU389" s="22"/>
      <c r="AV389" s="22"/>
      <c r="AW389" s="22"/>
      <c r="AX389" s="8"/>
      <c r="AY389" s="3"/>
      <c r="AZ389" s="3"/>
      <c r="BA389" s="8"/>
    </row>
    <row x14ac:dyDescent="0.25" r="390" customHeight="1" ht="14.4">
      <c r="A390" s="440"/>
      <c r="B390" s="3"/>
      <c r="C390" s="3"/>
      <c r="D390" s="440"/>
      <c r="E390" s="8"/>
      <c r="F390" s="3"/>
      <c r="G390" s="3"/>
      <c r="H390" s="3"/>
      <c r="I390" s="8"/>
      <c r="J390" s="3"/>
      <c r="K390" s="3"/>
      <c r="L390" s="3"/>
      <c r="M390" s="3"/>
      <c r="N390" s="3"/>
      <c r="O390" s="3"/>
      <c r="P390" s="3"/>
      <c r="Q390" s="637"/>
      <c r="R390" s="3"/>
      <c r="S390" s="8"/>
      <c r="T390" s="3"/>
      <c r="U390" s="3"/>
      <c r="V390" s="3"/>
      <c r="W390" s="31"/>
      <c r="X390" s="3"/>
      <c r="Y390" s="3"/>
      <c r="Z390" s="3"/>
      <c r="AA390" s="637"/>
      <c r="AB390" s="8"/>
      <c r="AC390" s="637"/>
      <c r="AD390" s="8"/>
      <c r="AE390" s="637"/>
      <c r="AF390" s="3"/>
      <c r="AG390" s="3"/>
      <c r="AH390" s="3"/>
      <c r="AI390" s="8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22"/>
      <c r="AU390" s="22"/>
      <c r="AV390" s="22"/>
      <c r="AW390" s="22"/>
      <c r="AX390" s="8"/>
      <c r="AY390" s="3"/>
      <c r="AZ390" s="3"/>
      <c r="BA390" s="8"/>
    </row>
    <row x14ac:dyDescent="0.25" r="391" customHeight="1" ht="14.4">
      <c r="A391" s="440"/>
      <c r="B391" s="3"/>
      <c r="C391" s="3"/>
      <c r="D391" s="440"/>
      <c r="E391" s="8"/>
      <c r="F391" s="3"/>
      <c r="G391" s="3"/>
      <c r="H391" s="3"/>
      <c r="I391" s="8"/>
      <c r="J391" s="3"/>
      <c r="K391" s="3"/>
      <c r="L391" s="3"/>
      <c r="M391" s="3"/>
      <c r="N391" s="3"/>
      <c r="O391" s="3"/>
      <c r="P391" s="3"/>
      <c r="Q391" s="637"/>
      <c r="R391" s="3"/>
      <c r="S391" s="8"/>
      <c r="T391" s="3"/>
      <c r="U391" s="3"/>
      <c r="V391" s="3"/>
      <c r="W391" s="31"/>
      <c r="X391" s="3"/>
      <c r="Y391" s="3"/>
      <c r="Z391" s="3"/>
      <c r="AA391" s="637"/>
      <c r="AB391" s="8"/>
      <c r="AC391" s="637"/>
      <c r="AD391" s="8"/>
      <c r="AE391" s="637"/>
      <c r="AF391" s="3"/>
      <c r="AG391" s="3"/>
      <c r="AH391" s="3"/>
      <c r="AI391" s="8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22"/>
      <c r="AU391" s="22"/>
      <c r="AV391" s="22"/>
      <c r="AW391" s="22"/>
      <c r="AX391" s="8"/>
      <c r="AY391" s="3"/>
      <c r="AZ391" s="3"/>
      <c r="BA391" s="8"/>
    </row>
    <row x14ac:dyDescent="0.25" r="392" customHeight="1" ht="14.4">
      <c r="A392" s="440"/>
      <c r="B392" s="3"/>
      <c r="C392" s="3"/>
      <c r="D392" s="440"/>
      <c r="E392" s="8"/>
      <c r="F392" s="3"/>
      <c r="G392" s="3"/>
      <c r="H392" s="3"/>
      <c r="I392" s="8"/>
      <c r="J392" s="3"/>
      <c r="K392" s="3"/>
      <c r="L392" s="3"/>
      <c r="M392" s="3"/>
      <c r="N392" s="3"/>
      <c r="O392" s="3"/>
      <c r="P392" s="3"/>
      <c r="Q392" s="637"/>
      <c r="R392" s="3"/>
      <c r="S392" s="8"/>
      <c r="T392" s="3"/>
      <c r="U392" s="3"/>
      <c r="V392" s="3"/>
      <c r="W392" s="31"/>
      <c r="X392" s="3"/>
      <c r="Y392" s="3"/>
      <c r="Z392" s="3"/>
      <c r="AA392" s="637"/>
      <c r="AB392" s="8"/>
      <c r="AC392" s="637"/>
      <c r="AD392" s="8"/>
      <c r="AE392" s="637"/>
      <c r="AF392" s="3"/>
      <c r="AG392" s="3"/>
      <c r="AH392" s="3"/>
      <c r="AI392" s="8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22"/>
      <c r="AU392" s="22"/>
      <c r="AV392" s="22"/>
      <c r="AW392" s="22"/>
      <c r="AX392" s="8"/>
      <c r="AY392" s="3"/>
      <c r="AZ392" s="3"/>
      <c r="BA392" s="8"/>
    </row>
    <row x14ac:dyDescent="0.25" r="393" customHeight="1" ht="14.4">
      <c r="A393" s="440"/>
      <c r="B393" s="3"/>
      <c r="C393" s="3"/>
      <c r="D393" s="440"/>
      <c r="E393" s="8"/>
      <c r="F393" s="3"/>
      <c r="G393" s="3"/>
      <c r="H393" s="3"/>
      <c r="I393" s="8"/>
      <c r="J393" s="3"/>
      <c r="K393" s="3"/>
      <c r="L393" s="3"/>
      <c r="M393" s="3"/>
      <c r="N393" s="3"/>
      <c r="O393" s="3"/>
      <c r="P393" s="3"/>
      <c r="Q393" s="637"/>
      <c r="R393" s="3"/>
      <c r="S393" s="8"/>
      <c r="T393" s="3"/>
      <c r="U393" s="3"/>
      <c r="V393" s="3"/>
      <c r="W393" s="31"/>
      <c r="X393" s="3"/>
      <c r="Y393" s="3"/>
      <c r="Z393" s="3"/>
      <c r="AA393" s="637"/>
      <c r="AB393" s="8"/>
      <c r="AC393" s="637"/>
      <c r="AD393" s="8"/>
      <c r="AE393" s="637"/>
      <c r="AF393" s="3"/>
      <c r="AG393" s="3"/>
      <c r="AH393" s="3"/>
      <c r="AI393" s="8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22"/>
      <c r="AU393" s="22"/>
      <c r="AV393" s="22"/>
      <c r="AW393" s="22"/>
      <c r="AX393" s="8"/>
      <c r="AY393" s="3"/>
      <c r="AZ393" s="3"/>
      <c r="BA393" s="8"/>
    </row>
    <row x14ac:dyDescent="0.25" r="394" customHeight="1" ht="14.4">
      <c r="A394" s="440"/>
      <c r="B394" s="3"/>
      <c r="C394" s="3"/>
      <c r="D394" s="440"/>
      <c r="E394" s="8"/>
      <c r="F394" s="3"/>
      <c r="G394" s="3"/>
      <c r="H394" s="3"/>
      <c r="I394" s="8"/>
      <c r="J394" s="3"/>
      <c r="K394" s="3"/>
      <c r="L394" s="3"/>
      <c r="M394" s="3"/>
      <c r="N394" s="3"/>
      <c r="O394" s="3"/>
      <c r="P394" s="3"/>
      <c r="Q394" s="637"/>
      <c r="R394" s="3"/>
      <c r="S394" s="8"/>
      <c r="T394" s="3"/>
      <c r="U394" s="3"/>
      <c r="V394" s="3"/>
      <c r="W394" s="31"/>
      <c r="X394" s="3"/>
      <c r="Y394" s="3"/>
      <c r="Z394" s="3"/>
      <c r="AA394" s="637"/>
      <c r="AB394" s="8"/>
      <c r="AC394" s="637"/>
      <c r="AD394" s="8"/>
      <c r="AE394" s="637"/>
      <c r="AF394" s="3"/>
      <c r="AG394" s="3"/>
      <c r="AH394" s="3"/>
      <c r="AI394" s="8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22"/>
      <c r="AU394" s="22"/>
      <c r="AV394" s="22"/>
      <c r="AW394" s="22"/>
      <c r="AX394" s="8"/>
      <c r="AY394" s="3"/>
      <c r="AZ394" s="3"/>
      <c r="BA394" s="8"/>
    </row>
    <row x14ac:dyDescent="0.25" r="395" customHeight="1" ht="14.4">
      <c r="A395" s="440"/>
      <c r="B395" s="3"/>
      <c r="C395" s="3"/>
      <c r="D395" s="440"/>
      <c r="E395" s="8"/>
      <c r="F395" s="3"/>
      <c r="G395" s="3"/>
      <c r="H395" s="3"/>
      <c r="I395" s="8"/>
      <c r="J395" s="3"/>
      <c r="K395" s="3"/>
      <c r="L395" s="3"/>
      <c r="M395" s="3"/>
      <c r="N395" s="3"/>
      <c r="O395" s="3"/>
      <c r="P395" s="3"/>
      <c r="Q395" s="637"/>
      <c r="R395" s="3"/>
      <c r="S395" s="8"/>
      <c r="T395" s="3"/>
      <c r="U395" s="3"/>
      <c r="V395" s="3"/>
      <c r="W395" s="31"/>
      <c r="X395" s="3"/>
      <c r="Y395" s="3"/>
      <c r="Z395" s="3"/>
      <c r="AA395" s="637"/>
      <c r="AB395" s="8"/>
      <c r="AC395" s="637"/>
      <c r="AD395" s="8"/>
      <c r="AE395" s="637"/>
      <c r="AF395" s="3"/>
      <c r="AG395" s="3"/>
      <c r="AH395" s="3"/>
      <c r="AI395" s="8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22"/>
      <c r="AU395" s="22"/>
      <c r="AV395" s="22"/>
      <c r="AW395" s="22"/>
      <c r="AX395" s="8"/>
      <c r="AY395" s="3"/>
      <c r="AZ395" s="3"/>
      <c r="BA395" s="8"/>
    </row>
    <row x14ac:dyDescent="0.25" r="396" customHeight="1" ht="14.4">
      <c r="A396" s="440"/>
      <c r="B396" s="3"/>
      <c r="C396" s="3"/>
      <c r="D396" s="440"/>
      <c r="E396" s="8"/>
      <c r="F396" s="3"/>
      <c r="G396" s="3"/>
      <c r="H396" s="3"/>
      <c r="I396" s="8"/>
      <c r="J396" s="3"/>
      <c r="K396" s="3"/>
      <c r="L396" s="3"/>
      <c r="M396" s="3"/>
      <c r="N396" s="3"/>
      <c r="O396" s="3"/>
      <c r="P396" s="3"/>
      <c r="Q396" s="637"/>
      <c r="R396" s="3"/>
      <c r="S396" s="8"/>
      <c r="T396" s="3"/>
      <c r="U396" s="3"/>
      <c r="V396" s="3"/>
      <c r="W396" s="31"/>
      <c r="X396" s="3"/>
      <c r="Y396" s="3"/>
      <c r="Z396" s="3"/>
      <c r="AA396" s="637"/>
      <c r="AB396" s="8"/>
      <c r="AC396" s="637"/>
      <c r="AD396" s="8"/>
      <c r="AE396" s="637"/>
      <c r="AF396" s="3"/>
      <c r="AG396" s="3"/>
      <c r="AH396" s="3"/>
      <c r="AI396" s="8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22"/>
      <c r="AU396" s="22"/>
      <c r="AV396" s="22"/>
      <c r="AW396" s="22"/>
      <c r="AX396" s="8"/>
      <c r="AY396" s="3"/>
      <c r="AZ396" s="3"/>
      <c r="BA396" s="8"/>
    </row>
    <row x14ac:dyDescent="0.25" r="397" customHeight="1" ht="14.4">
      <c r="A397" s="440"/>
      <c r="B397" s="3"/>
      <c r="C397" s="3"/>
      <c r="D397" s="440"/>
      <c r="E397" s="8"/>
      <c r="F397" s="3"/>
      <c r="G397" s="3"/>
      <c r="H397" s="3"/>
      <c r="I397" s="8"/>
      <c r="J397" s="3"/>
      <c r="K397" s="3"/>
      <c r="L397" s="3"/>
      <c r="M397" s="3"/>
      <c r="N397" s="3"/>
      <c r="O397" s="3"/>
      <c r="P397" s="3"/>
      <c r="Q397" s="637"/>
      <c r="R397" s="3"/>
      <c r="S397" s="8"/>
      <c r="T397" s="3"/>
      <c r="U397" s="3"/>
      <c r="V397" s="3"/>
      <c r="W397" s="31"/>
      <c r="X397" s="3"/>
      <c r="Y397" s="3"/>
      <c r="Z397" s="3"/>
      <c r="AA397" s="637"/>
      <c r="AB397" s="8"/>
      <c r="AC397" s="637"/>
      <c r="AD397" s="8"/>
      <c r="AE397" s="637"/>
      <c r="AF397" s="3"/>
      <c r="AG397" s="3"/>
      <c r="AH397" s="3"/>
      <c r="AI397" s="8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22"/>
      <c r="AU397" s="22"/>
      <c r="AV397" s="22"/>
      <c r="AW397" s="22"/>
      <c r="AX397" s="8"/>
      <c r="AY397" s="3"/>
      <c r="AZ397" s="3"/>
      <c r="BA397" s="8"/>
    </row>
    <row x14ac:dyDescent="0.25" r="398" customHeight="1" ht="14.4">
      <c r="A398" s="440"/>
      <c r="B398" s="3"/>
      <c r="C398" s="3"/>
      <c r="D398" s="440"/>
      <c r="E398" s="8"/>
      <c r="F398" s="3"/>
      <c r="G398" s="3"/>
      <c r="H398" s="3"/>
      <c r="I398" s="8"/>
      <c r="J398" s="3"/>
      <c r="K398" s="3"/>
      <c r="L398" s="3"/>
      <c r="M398" s="3"/>
      <c r="N398" s="3"/>
      <c r="O398" s="3"/>
      <c r="P398" s="3"/>
      <c r="Q398" s="637"/>
      <c r="R398" s="3"/>
      <c r="S398" s="8"/>
      <c r="T398" s="3"/>
      <c r="U398" s="3"/>
      <c r="V398" s="3"/>
      <c r="W398" s="31"/>
      <c r="X398" s="3"/>
      <c r="Y398" s="3"/>
      <c r="Z398" s="3"/>
      <c r="AA398" s="637"/>
      <c r="AB398" s="8"/>
      <c r="AC398" s="637"/>
      <c r="AD398" s="8"/>
      <c r="AE398" s="637"/>
      <c r="AF398" s="3"/>
      <c r="AG398" s="3"/>
      <c r="AH398" s="3"/>
      <c r="AI398" s="8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22"/>
      <c r="AU398" s="22"/>
      <c r="AV398" s="22"/>
      <c r="AW398" s="22"/>
      <c r="AX398" s="8"/>
      <c r="AY398" s="3"/>
      <c r="AZ398" s="3"/>
      <c r="BA398" s="8"/>
    </row>
    <row x14ac:dyDescent="0.25" r="399" customHeight="1" ht="14.4">
      <c r="A399" s="440"/>
      <c r="B399" s="3"/>
      <c r="C399" s="3"/>
      <c r="D399" s="440"/>
      <c r="E399" s="8"/>
      <c r="F399" s="3"/>
      <c r="G399" s="3"/>
      <c r="H399" s="3"/>
      <c r="I399" s="8"/>
      <c r="J399" s="3"/>
      <c r="K399" s="3"/>
      <c r="L399" s="3"/>
      <c r="M399" s="3"/>
      <c r="N399" s="3"/>
      <c r="O399" s="3"/>
      <c r="P399" s="3"/>
      <c r="Q399" s="637"/>
      <c r="R399" s="3"/>
      <c r="S399" s="8"/>
      <c r="T399" s="3"/>
      <c r="U399" s="3"/>
      <c r="V399" s="3"/>
      <c r="W399" s="31"/>
      <c r="X399" s="3"/>
      <c r="Y399" s="3"/>
      <c r="Z399" s="3"/>
      <c r="AA399" s="637"/>
      <c r="AB399" s="8"/>
      <c r="AC399" s="637"/>
      <c r="AD399" s="8"/>
      <c r="AE399" s="637"/>
      <c r="AF399" s="3"/>
      <c r="AG399" s="3"/>
      <c r="AH399" s="3"/>
      <c r="AI399" s="8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22"/>
      <c r="AU399" s="22"/>
      <c r="AV399" s="22"/>
      <c r="AW399" s="22"/>
      <c r="AX399" s="8"/>
      <c r="AY399" s="3"/>
      <c r="AZ399" s="3"/>
      <c r="BA399" s="8"/>
    </row>
    <row x14ac:dyDescent="0.25" r="400" customHeight="1" ht="14.4">
      <c r="A400" s="440"/>
      <c r="B400" s="3"/>
      <c r="C400" s="3"/>
      <c r="D400" s="440"/>
      <c r="E400" s="8"/>
      <c r="F400" s="3"/>
      <c r="G400" s="3"/>
      <c r="H400" s="3"/>
      <c r="I400" s="8"/>
      <c r="J400" s="3"/>
      <c r="K400" s="3"/>
      <c r="L400" s="3"/>
      <c r="M400" s="3"/>
      <c r="N400" s="3"/>
      <c r="O400" s="3"/>
      <c r="P400" s="3"/>
      <c r="Q400" s="637"/>
      <c r="R400" s="3"/>
      <c r="S400" s="8"/>
      <c r="T400" s="3"/>
      <c r="U400" s="3"/>
      <c r="V400" s="3"/>
      <c r="W400" s="31"/>
      <c r="X400" s="3"/>
      <c r="Y400" s="3"/>
      <c r="Z400" s="3"/>
      <c r="AA400" s="637"/>
      <c r="AB400" s="8"/>
      <c r="AC400" s="637"/>
      <c r="AD400" s="8"/>
      <c r="AE400" s="637"/>
      <c r="AF400" s="3"/>
      <c r="AG400" s="3"/>
      <c r="AH400" s="3"/>
      <c r="AI400" s="8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22"/>
      <c r="AU400" s="22"/>
      <c r="AV400" s="22"/>
      <c r="AW400" s="22"/>
      <c r="AX400" s="8"/>
      <c r="AY400" s="3"/>
      <c r="AZ400" s="3"/>
      <c r="BA400" s="8"/>
    </row>
    <row x14ac:dyDescent="0.25" r="401" customHeight="1" ht="14.4">
      <c r="A401" s="440"/>
      <c r="B401" s="3"/>
      <c r="C401" s="3"/>
      <c r="D401" s="440"/>
      <c r="E401" s="8"/>
      <c r="F401" s="3"/>
      <c r="G401" s="3"/>
      <c r="H401" s="3"/>
      <c r="I401" s="8"/>
      <c r="J401" s="3"/>
      <c r="K401" s="3"/>
      <c r="L401" s="3"/>
      <c r="M401" s="3"/>
      <c r="N401" s="3"/>
      <c r="O401" s="3"/>
      <c r="P401" s="3"/>
      <c r="Q401" s="637"/>
      <c r="R401" s="3"/>
      <c r="S401" s="8"/>
      <c r="T401" s="3"/>
      <c r="U401" s="3"/>
      <c r="V401" s="3"/>
      <c r="W401" s="31"/>
      <c r="X401" s="3"/>
      <c r="Y401" s="3"/>
      <c r="Z401" s="3"/>
      <c r="AA401" s="637"/>
      <c r="AB401" s="8"/>
      <c r="AC401" s="637"/>
      <c r="AD401" s="8"/>
      <c r="AE401" s="637"/>
      <c r="AF401" s="3"/>
      <c r="AG401" s="3"/>
      <c r="AH401" s="3"/>
      <c r="AI401" s="8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22"/>
      <c r="AU401" s="22"/>
      <c r="AV401" s="22"/>
      <c r="AW401" s="22"/>
      <c r="AX401" s="8"/>
      <c r="AY401" s="3"/>
      <c r="AZ401" s="3"/>
      <c r="BA401" s="8"/>
    </row>
    <row x14ac:dyDescent="0.25" r="402" customHeight="1" ht="14.4">
      <c r="A402" s="440"/>
      <c r="B402" s="3"/>
      <c r="C402" s="3"/>
      <c r="D402" s="440"/>
      <c r="E402" s="8"/>
      <c r="F402" s="3"/>
      <c r="G402" s="3"/>
      <c r="H402" s="3"/>
      <c r="I402" s="8"/>
      <c r="J402" s="3"/>
      <c r="K402" s="3"/>
      <c r="L402" s="3"/>
      <c r="M402" s="3"/>
      <c r="N402" s="3"/>
      <c r="O402" s="3"/>
      <c r="P402" s="3"/>
      <c r="Q402" s="637"/>
      <c r="R402" s="3"/>
      <c r="S402" s="8"/>
      <c r="T402" s="3"/>
      <c r="U402" s="3"/>
      <c r="V402" s="3"/>
      <c r="W402" s="31"/>
      <c r="X402" s="3"/>
      <c r="Y402" s="3"/>
      <c r="Z402" s="3"/>
      <c r="AA402" s="637"/>
      <c r="AB402" s="8"/>
      <c r="AC402" s="637"/>
      <c r="AD402" s="8"/>
      <c r="AE402" s="637"/>
      <c r="AF402" s="3"/>
      <c r="AG402" s="3"/>
      <c r="AH402" s="3"/>
      <c r="AI402" s="8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22"/>
      <c r="AU402" s="22"/>
      <c r="AV402" s="22"/>
      <c r="AW402" s="22"/>
      <c r="AX402" s="8"/>
      <c r="AY402" s="3"/>
      <c r="AZ402" s="3"/>
      <c r="BA402" s="8"/>
    </row>
    <row x14ac:dyDescent="0.25" r="403" customHeight="1" ht="14.4">
      <c r="A403" s="440"/>
      <c r="B403" s="3"/>
      <c r="C403" s="3"/>
      <c r="D403" s="440"/>
      <c r="E403" s="8"/>
      <c r="F403" s="3"/>
      <c r="G403" s="3"/>
      <c r="H403" s="3"/>
      <c r="I403" s="8"/>
      <c r="J403" s="3"/>
      <c r="K403" s="3"/>
      <c r="L403" s="3"/>
      <c r="M403" s="3"/>
      <c r="N403" s="3"/>
      <c r="O403" s="3"/>
      <c r="P403" s="3"/>
      <c r="Q403" s="637"/>
      <c r="R403" s="3"/>
      <c r="S403" s="8"/>
      <c r="T403" s="3"/>
      <c r="U403" s="3"/>
      <c r="V403" s="3"/>
      <c r="W403" s="31"/>
      <c r="X403" s="3"/>
      <c r="Y403" s="3"/>
      <c r="Z403" s="3"/>
      <c r="AA403" s="637"/>
      <c r="AB403" s="8"/>
      <c r="AC403" s="637"/>
      <c r="AD403" s="8"/>
      <c r="AE403" s="637"/>
      <c r="AF403" s="3"/>
      <c r="AG403" s="3"/>
      <c r="AH403" s="3"/>
      <c r="AI403" s="8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22"/>
      <c r="AU403" s="22"/>
      <c r="AV403" s="22"/>
      <c r="AW403" s="22"/>
      <c r="AX403" s="8"/>
      <c r="AY403" s="3"/>
      <c r="AZ403" s="3"/>
      <c r="BA403" s="8"/>
    </row>
    <row x14ac:dyDescent="0.25" r="404" customHeight="1" ht="14.4">
      <c r="A404" s="440"/>
      <c r="B404" s="3"/>
      <c r="C404" s="3"/>
      <c r="D404" s="440"/>
      <c r="E404" s="8"/>
      <c r="F404" s="3"/>
      <c r="G404" s="3"/>
      <c r="H404" s="3"/>
      <c r="I404" s="8"/>
      <c r="J404" s="3"/>
      <c r="K404" s="3"/>
      <c r="L404" s="3"/>
      <c r="M404" s="3"/>
      <c r="N404" s="3"/>
      <c r="O404" s="3"/>
      <c r="P404" s="3"/>
      <c r="Q404" s="637"/>
      <c r="R404" s="3"/>
      <c r="S404" s="8"/>
      <c r="T404" s="3"/>
      <c r="U404" s="3"/>
      <c r="V404" s="3"/>
      <c r="W404" s="31"/>
      <c r="X404" s="3"/>
      <c r="Y404" s="3"/>
      <c r="Z404" s="3"/>
      <c r="AA404" s="637"/>
      <c r="AB404" s="8"/>
      <c r="AC404" s="637"/>
      <c r="AD404" s="8"/>
      <c r="AE404" s="637"/>
      <c r="AF404" s="3"/>
      <c r="AG404" s="3"/>
      <c r="AH404" s="3"/>
      <c r="AI404" s="8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22"/>
      <c r="AU404" s="22"/>
      <c r="AV404" s="22"/>
      <c r="AW404" s="22"/>
      <c r="AX404" s="8"/>
      <c r="AY404" s="3"/>
      <c r="AZ404" s="3"/>
      <c r="BA404" s="8"/>
    </row>
    <row x14ac:dyDescent="0.25" r="405" customHeight="1" ht="14.4">
      <c r="A405" s="440"/>
      <c r="B405" s="3"/>
      <c r="C405" s="3"/>
      <c r="D405" s="440"/>
      <c r="E405" s="8"/>
      <c r="F405" s="3"/>
      <c r="G405" s="3"/>
      <c r="H405" s="3"/>
      <c r="I405" s="8"/>
      <c r="J405" s="3"/>
      <c r="K405" s="3"/>
      <c r="L405" s="3"/>
      <c r="M405" s="3"/>
      <c r="N405" s="3"/>
      <c r="O405" s="3"/>
      <c r="P405" s="3"/>
      <c r="Q405" s="637"/>
      <c r="R405" s="3"/>
      <c r="S405" s="8"/>
      <c r="T405" s="3"/>
      <c r="U405" s="3"/>
      <c r="V405" s="3"/>
      <c r="W405" s="31"/>
      <c r="X405" s="3"/>
      <c r="Y405" s="3"/>
      <c r="Z405" s="3"/>
      <c r="AA405" s="637"/>
      <c r="AB405" s="8"/>
      <c r="AC405" s="637"/>
      <c r="AD405" s="8"/>
      <c r="AE405" s="637"/>
      <c r="AF405" s="3"/>
      <c r="AG405" s="3"/>
      <c r="AH405" s="3"/>
      <c r="AI405" s="8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22"/>
      <c r="AU405" s="22"/>
      <c r="AV405" s="22"/>
      <c r="AW405" s="22"/>
      <c r="AX405" s="8"/>
      <c r="AY405" s="3"/>
      <c r="AZ405" s="3"/>
      <c r="BA405" s="8"/>
    </row>
    <row x14ac:dyDescent="0.25" r="406" customHeight="1" ht="14.4">
      <c r="A406" s="440"/>
      <c r="B406" s="3"/>
      <c r="C406" s="3"/>
      <c r="D406" s="440"/>
      <c r="E406" s="8"/>
      <c r="F406" s="3"/>
      <c r="G406" s="3"/>
      <c r="H406" s="3"/>
      <c r="I406" s="8"/>
      <c r="J406" s="3"/>
      <c r="K406" s="3"/>
      <c r="L406" s="3"/>
      <c r="M406" s="3"/>
      <c r="N406" s="3"/>
      <c r="O406" s="3"/>
      <c r="P406" s="3"/>
      <c r="Q406" s="637"/>
      <c r="R406" s="3"/>
      <c r="S406" s="8"/>
      <c r="T406" s="3"/>
      <c r="U406" s="3"/>
      <c r="V406" s="3"/>
      <c r="W406" s="31"/>
      <c r="X406" s="3"/>
      <c r="Y406" s="3"/>
      <c r="Z406" s="3"/>
      <c r="AA406" s="637"/>
      <c r="AB406" s="8"/>
      <c r="AC406" s="637"/>
      <c r="AD406" s="8"/>
      <c r="AE406" s="637"/>
      <c r="AF406" s="3"/>
      <c r="AG406" s="3"/>
      <c r="AH406" s="3"/>
      <c r="AI406" s="8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22"/>
      <c r="AU406" s="22"/>
      <c r="AV406" s="22"/>
      <c r="AW406" s="22"/>
      <c r="AX406" s="8"/>
      <c r="AY406" s="3"/>
      <c r="AZ406" s="3"/>
      <c r="BA406" s="8"/>
    </row>
    <row x14ac:dyDescent="0.25" r="407" customHeight="1" ht="14.4">
      <c r="A407" s="440"/>
      <c r="B407" s="3"/>
      <c r="C407" s="3"/>
      <c r="D407" s="440"/>
      <c r="E407" s="8"/>
      <c r="F407" s="3"/>
      <c r="G407" s="3"/>
      <c r="H407" s="3"/>
      <c r="I407" s="8"/>
      <c r="J407" s="3"/>
      <c r="K407" s="3"/>
      <c r="L407" s="3"/>
      <c r="M407" s="3"/>
      <c r="N407" s="3"/>
      <c r="O407" s="3"/>
      <c r="P407" s="3"/>
      <c r="Q407" s="637"/>
      <c r="R407" s="3"/>
      <c r="S407" s="8"/>
      <c r="T407" s="3"/>
      <c r="U407" s="3"/>
      <c r="V407" s="3"/>
      <c r="W407" s="31"/>
      <c r="X407" s="3"/>
      <c r="Y407" s="3"/>
      <c r="Z407" s="3"/>
      <c r="AA407" s="637"/>
      <c r="AB407" s="8"/>
      <c r="AC407" s="637"/>
      <c r="AD407" s="8"/>
      <c r="AE407" s="637"/>
      <c r="AF407" s="3"/>
      <c r="AG407" s="3"/>
      <c r="AH407" s="3"/>
      <c r="AI407" s="8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22"/>
      <c r="AU407" s="22"/>
      <c r="AV407" s="22"/>
      <c r="AW407" s="22"/>
      <c r="AX407" s="8"/>
      <c r="AY407" s="3"/>
      <c r="AZ407" s="3"/>
      <c r="BA407" s="8"/>
    </row>
    <row x14ac:dyDescent="0.25" r="408" customHeight="1" ht="14.4">
      <c r="A408" s="440"/>
      <c r="B408" s="3"/>
      <c r="C408" s="3"/>
      <c r="D408" s="440"/>
      <c r="E408" s="8"/>
      <c r="F408" s="3"/>
      <c r="G408" s="3"/>
      <c r="H408" s="3"/>
      <c r="I408" s="8"/>
      <c r="J408" s="3"/>
      <c r="K408" s="3"/>
      <c r="L408" s="3"/>
      <c r="M408" s="3"/>
      <c r="N408" s="3"/>
      <c r="O408" s="3"/>
      <c r="P408" s="3"/>
      <c r="Q408" s="637"/>
      <c r="R408" s="3"/>
      <c r="S408" s="8"/>
      <c r="T408" s="3"/>
      <c r="U408" s="3"/>
      <c r="V408" s="3"/>
      <c r="W408" s="31"/>
      <c r="X408" s="3"/>
      <c r="Y408" s="3"/>
      <c r="Z408" s="3"/>
      <c r="AA408" s="637"/>
      <c r="AB408" s="8"/>
      <c r="AC408" s="637"/>
      <c r="AD408" s="8"/>
      <c r="AE408" s="637"/>
      <c r="AF408" s="3"/>
      <c r="AG408" s="3"/>
      <c r="AH408" s="3"/>
      <c r="AI408" s="8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22"/>
      <c r="AU408" s="22"/>
      <c r="AV408" s="22"/>
      <c r="AW408" s="22"/>
      <c r="AX408" s="8"/>
      <c r="AY408" s="3"/>
      <c r="AZ408" s="3"/>
      <c r="BA408" s="8"/>
    </row>
    <row x14ac:dyDescent="0.25" r="409" customHeight="1" ht="14.4">
      <c r="A409" s="440"/>
      <c r="B409" s="3"/>
      <c r="C409" s="3"/>
      <c r="D409" s="440"/>
      <c r="E409" s="8"/>
      <c r="F409" s="3"/>
      <c r="G409" s="3"/>
      <c r="H409" s="3"/>
      <c r="I409" s="8"/>
      <c r="J409" s="3"/>
      <c r="K409" s="3"/>
      <c r="L409" s="3"/>
      <c r="M409" s="3"/>
      <c r="N409" s="3"/>
      <c r="O409" s="3"/>
      <c r="P409" s="3"/>
      <c r="Q409" s="637"/>
      <c r="R409" s="3"/>
      <c r="S409" s="8"/>
      <c r="T409" s="3"/>
      <c r="U409" s="3"/>
      <c r="V409" s="3"/>
      <c r="W409" s="31"/>
      <c r="X409" s="3"/>
      <c r="Y409" s="3"/>
      <c r="Z409" s="3"/>
      <c r="AA409" s="637"/>
      <c r="AB409" s="8"/>
      <c r="AC409" s="637"/>
      <c r="AD409" s="8"/>
      <c r="AE409" s="637"/>
      <c r="AF409" s="3"/>
      <c r="AG409" s="3"/>
      <c r="AH409" s="3"/>
      <c r="AI409" s="8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22"/>
      <c r="AU409" s="22"/>
      <c r="AV409" s="22"/>
      <c r="AW409" s="22"/>
      <c r="AX409" s="8"/>
      <c r="AY409" s="3"/>
      <c r="AZ409" s="3"/>
      <c r="BA409" s="8"/>
    </row>
    <row x14ac:dyDescent="0.25" r="410" customHeight="1" ht="14.4">
      <c r="A410" s="440"/>
      <c r="B410" s="3"/>
      <c r="C410" s="3"/>
      <c r="D410" s="440"/>
      <c r="E410" s="8"/>
      <c r="F410" s="3"/>
      <c r="G410" s="3"/>
      <c r="H410" s="3"/>
      <c r="I410" s="8"/>
      <c r="J410" s="3"/>
      <c r="K410" s="3"/>
      <c r="L410" s="3"/>
      <c r="M410" s="3"/>
      <c r="N410" s="3"/>
      <c r="O410" s="3"/>
      <c r="P410" s="3"/>
      <c r="Q410" s="637"/>
      <c r="R410" s="3"/>
      <c r="S410" s="8"/>
      <c r="T410" s="3"/>
      <c r="U410" s="3"/>
      <c r="V410" s="3"/>
      <c r="W410" s="31"/>
      <c r="X410" s="3"/>
      <c r="Y410" s="3"/>
      <c r="Z410" s="3"/>
      <c r="AA410" s="637"/>
      <c r="AB410" s="8"/>
      <c r="AC410" s="637"/>
      <c r="AD410" s="8"/>
      <c r="AE410" s="637"/>
      <c r="AF410" s="3"/>
      <c r="AG410" s="3"/>
      <c r="AH410" s="3"/>
      <c r="AI410" s="8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22"/>
      <c r="AU410" s="22"/>
      <c r="AV410" s="22"/>
      <c r="AW410" s="22"/>
      <c r="AX410" s="8"/>
      <c r="AY410" s="3"/>
      <c r="AZ410" s="3"/>
      <c r="BA410" s="8"/>
    </row>
    <row x14ac:dyDescent="0.25" r="411" customHeight="1" ht="14.4">
      <c r="A411" s="440"/>
      <c r="B411" s="3"/>
      <c r="C411" s="3"/>
      <c r="D411" s="440"/>
      <c r="E411" s="8"/>
      <c r="F411" s="3"/>
      <c r="G411" s="3"/>
      <c r="H411" s="3"/>
      <c r="I411" s="8"/>
      <c r="J411" s="3"/>
      <c r="K411" s="3"/>
      <c r="L411" s="3"/>
      <c r="M411" s="3"/>
      <c r="N411" s="3"/>
      <c r="O411" s="3"/>
      <c r="P411" s="3"/>
      <c r="Q411" s="637"/>
      <c r="R411" s="3"/>
      <c r="S411" s="8"/>
      <c r="T411" s="3"/>
      <c r="U411" s="3"/>
      <c r="V411" s="3"/>
      <c r="W411" s="31"/>
      <c r="X411" s="3"/>
      <c r="Y411" s="3"/>
      <c r="Z411" s="3"/>
      <c r="AA411" s="637"/>
      <c r="AB411" s="8"/>
      <c r="AC411" s="637"/>
      <c r="AD411" s="8"/>
      <c r="AE411" s="637"/>
      <c r="AF411" s="3"/>
      <c r="AG411" s="3"/>
      <c r="AH411" s="3"/>
      <c r="AI411" s="8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22"/>
      <c r="AU411" s="22"/>
      <c r="AV411" s="22"/>
      <c r="AW411" s="22"/>
      <c r="AX411" s="8"/>
      <c r="AY411" s="3"/>
      <c r="AZ411" s="3"/>
      <c r="BA411" s="8"/>
    </row>
    <row x14ac:dyDescent="0.25" r="412" customHeight="1" ht="14.4">
      <c r="A412" s="440"/>
      <c r="B412" s="3"/>
      <c r="C412" s="3"/>
      <c r="D412" s="440"/>
      <c r="E412" s="8"/>
      <c r="F412" s="3"/>
      <c r="G412" s="3"/>
      <c r="H412" s="3"/>
      <c r="I412" s="8"/>
      <c r="J412" s="3"/>
      <c r="K412" s="3"/>
      <c r="L412" s="3"/>
      <c r="M412" s="3"/>
      <c r="N412" s="3"/>
      <c r="O412" s="3"/>
      <c r="P412" s="3"/>
      <c r="Q412" s="637"/>
      <c r="R412" s="3"/>
      <c r="S412" s="8"/>
      <c r="T412" s="3"/>
      <c r="U412" s="3"/>
      <c r="V412" s="3"/>
      <c r="W412" s="31"/>
      <c r="X412" s="3"/>
      <c r="Y412" s="3"/>
      <c r="Z412" s="3"/>
      <c r="AA412" s="637"/>
      <c r="AB412" s="8"/>
      <c r="AC412" s="637"/>
      <c r="AD412" s="8"/>
      <c r="AE412" s="637"/>
      <c r="AF412" s="3"/>
      <c r="AG412" s="3"/>
      <c r="AH412" s="3"/>
      <c r="AI412" s="8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22"/>
      <c r="AU412" s="22"/>
      <c r="AV412" s="22"/>
      <c r="AW412" s="22"/>
      <c r="AX412" s="8"/>
      <c r="AY412" s="3"/>
      <c r="AZ412" s="3"/>
      <c r="BA412" s="8"/>
    </row>
    <row x14ac:dyDescent="0.25" r="413" customHeight="1" ht="14.4">
      <c r="A413" s="440"/>
      <c r="B413" s="3"/>
      <c r="C413" s="3"/>
      <c r="D413" s="440"/>
      <c r="E413" s="8"/>
      <c r="F413" s="3"/>
      <c r="G413" s="3"/>
      <c r="H413" s="3"/>
      <c r="I413" s="8"/>
      <c r="J413" s="3"/>
      <c r="K413" s="3"/>
      <c r="L413" s="3"/>
      <c r="M413" s="3"/>
      <c r="N413" s="3"/>
      <c r="O413" s="3"/>
      <c r="P413" s="3"/>
      <c r="Q413" s="637"/>
      <c r="R413" s="3"/>
      <c r="S413" s="8"/>
      <c r="T413" s="3"/>
      <c r="U413" s="3"/>
      <c r="V413" s="3"/>
      <c r="W413" s="31"/>
      <c r="X413" s="3"/>
      <c r="Y413" s="3"/>
      <c r="Z413" s="3"/>
      <c r="AA413" s="637"/>
      <c r="AB413" s="8"/>
      <c r="AC413" s="637"/>
      <c r="AD413" s="8"/>
      <c r="AE413" s="637"/>
      <c r="AF413" s="3"/>
      <c r="AG413" s="3"/>
      <c r="AH413" s="3"/>
      <c r="AI413" s="8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22"/>
      <c r="AU413" s="22"/>
      <c r="AV413" s="22"/>
      <c r="AW413" s="22"/>
      <c r="AX413" s="8"/>
      <c r="AY413" s="3"/>
      <c r="AZ413" s="3"/>
      <c r="BA413" s="8"/>
    </row>
    <row x14ac:dyDescent="0.25" r="414" customHeight="1" ht="14.4">
      <c r="A414" s="440"/>
      <c r="B414" s="3"/>
      <c r="C414" s="3"/>
      <c r="D414" s="440"/>
      <c r="E414" s="8"/>
      <c r="F414" s="3"/>
      <c r="G414" s="3"/>
      <c r="H414" s="3"/>
      <c r="I414" s="8"/>
      <c r="J414" s="3"/>
      <c r="K414" s="3"/>
      <c r="L414" s="3"/>
      <c r="M414" s="3"/>
      <c r="N414" s="3"/>
      <c r="O414" s="3"/>
      <c r="P414" s="3"/>
      <c r="Q414" s="637"/>
      <c r="R414" s="3"/>
      <c r="S414" s="8"/>
      <c r="T414" s="3"/>
      <c r="U414" s="3"/>
      <c r="V414" s="3"/>
      <c r="W414" s="31"/>
      <c r="X414" s="3"/>
      <c r="Y414" s="3"/>
      <c r="Z414" s="3"/>
      <c r="AA414" s="637"/>
      <c r="AB414" s="8"/>
      <c r="AC414" s="637"/>
      <c r="AD414" s="8"/>
      <c r="AE414" s="637"/>
      <c r="AF414" s="3"/>
      <c r="AG414" s="3"/>
      <c r="AH414" s="3"/>
      <c r="AI414" s="8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22"/>
      <c r="AU414" s="22"/>
      <c r="AV414" s="22"/>
      <c r="AW414" s="22"/>
      <c r="AX414" s="8"/>
      <c r="AY414" s="3"/>
      <c r="AZ414" s="3"/>
      <c r="BA414" s="8"/>
    </row>
    <row x14ac:dyDescent="0.25" r="415" customHeight="1" ht="14.4">
      <c r="A415" s="440"/>
      <c r="B415" s="3"/>
      <c r="C415" s="3"/>
      <c r="D415" s="440"/>
      <c r="E415" s="8"/>
      <c r="F415" s="3"/>
      <c r="G415" s="3"/>
      <c r="H415" s="3"/>
      <c r="I415" s="8"/>
      <c r="J415" s="3"/>
      <c r="K415" s="3"/>
      <c r="L415" s="3"/>
      <c r="M415" s="3"/>
      <c r="N415" s="3"/>
      <c r="O415" s="3"/>
      <c r="P415" s="3"/>
      <c r="Q415" s="637"/>
      <c r="R415" s="3"/>
      <c r="S415" s="8"/>
      <c r="T415" s="3"/>
      <c r="U415" s="3"/>
      <c r="V415" s="3"/>
      <c r="W415" s="31"/>
      <c r="X415" s="3"/>
      <c r="Y415" s="3"/>
      <c r="Z415" s="3"/>
      <c r="AA415" s="637"/>
      <c r="AB415" s="8"/>
      <c r="AC415" s="637"/>
      <c r="AD415" s="8"/>
      <c r="AE415" s="637"/>
      <c r="AF415" s="3"/>
      <c r="AG415" s="3"/>
      <c r="AH415" s="3"/>
      <c r="AI415" s="8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22"/>
      <c r="AU415" s="22"/>
      <c r="AV415" s="22"/>
      <c r="AW415" s="22"/>
      <c r="AX415" s="8"/>
      <c r="AY415" s="3"/>
      <c r="AZ415" s="3"/>
      <c r="BA415" s="8"/>
    </row>
    <row x14ac:dyDescent="0.25" r="416" customHeight="1" ht="14.4">
      <c r="A416" s="440"/>
      <c r="B416" s="3"/>
      <c r="C416" s="3"/>
      <c r="D416" s="440"/>
      <c r="E416" s="8"/>
      <c r="F416" s="3"/>
      <c r="G416" s="3"/>
      <c r="H416" s="3"/>
      <c r="I416" s="8"/>
      <c r="J416" s="3"/>
      <c r="K416" s="3"/>
      <c r="L416" s="3"/>
      <c r="M416" s="3"/>
      <c r="N416" s="3"/>
      <c r="O416" s="3"/>
      <c r="P416" s="3"/>
      <c r="Q416" s="637"/>
      <c r="R416" s="3"/>
      <c r="S416" s="8"/>
      <c r="T416" s="3"/>
      <c r="U416" s="3"/>
      <c r="V416" s="3"/>
      <c r="W416" s="31"/>
      <c r="X416" s="3"/>
      <c r="Y416" s="3"/>
      <c r="Z416" s="3"/>
      <c r="AA416" s="637"/>
      <c r="AB416" s="8"/>
      <c r="AC416" s="637"/>
      <c r="AD416" s="8"/>
      <c r="AE416" s="637"/>
      <c r="AF416" s="3"/>
      <c r="AG416" s="3"/>
      <c r="AH416" s="3"/>
      <c r="AI416" s="8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22"/>
      <c r="AU416" s="22"/>
      <c r="AV416" s="22"/>
      <c r="AW416" s="22"/>
      <c r="AX416" s="8"/>
      <c r="AY416" s="3"/>
      <c r="AZ416" s="3"/>
      <c r="BA416" s="8"/>
    </row>
    <row x14ac:dyDescent="0.25" r="417" customHeight="1" ht="14.4">
      <c r="A417" s="440"/>
      <c r="B417" s="3"/>
      <c r="C417" s="3"/>
      <c r="D417" s="440"/>
      <c r="E417" s="8"/>
      <c r="F417" s="3"/>
      <c r="G417" s="3"/>
      <c r="H417" s="3"/>
      <c r="I417" s="8"/>
      <c r="J417" s="3"/>
      <c r="K417" s="3"/>
      <c r="L417" s="3"/>
      <c r="M417" s="3"/>
      <c r="N417" s="3"/>
      <c r="O417" s="3"/>
      <c r="P417" s="3"/>
      <c r="Q417" s="637"/>
      <c r="R417" s="3"/>
      <c r="S417" s="8"/>
      <c r="T417" s="3"/>
      <c r="U417" s="3"/>
      <c r="V417" s="3"/>
      <c r="W417" s="31"/>
      <c r="X417" s="3"/>
      <c r="Y417" s="3"/>
      <c r="Z417" s="3"/>
      <c r="AA417" s="637"/>
      <c r="AB417" s="8"/>
      <c r="AC417" s="637"/>
      <c r="AD417" s="8"/>
      <c r="AE417" s="637"/>
      <c r="AF417" s="3"/>
      <c r="AG417" s="3"/>
      <c r="AH417" s="3"/>
      <c r="AI417" s="8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22"/>
      <c r="AU417" s="22"/>
      <c r="AV417" s="22"/>
      <c r="AW417" s="22"/>
      <c r="AX417" s="8"/>
      <c r="AY417" s="3"/>
      <c r="AZ417" s="3"/>
      <c r="BA417" s="8"/>
    </row>
    <row x14ac:dyDescent="0.25" r="418" customHeight="1" ht="14.4">
      <c r="A418" s="440"/>
      <c r="B418" s="3"/>
      <c r="C418" s="3"/>
      <c r="D418" s="440"/>
      <c r="E418" s="8"/>
      <c r="F418" s="3"/>
      <c r="G418" s="3"/>
      <c r="H418" s="3"/>
      <c r="I418" s="8"/>
      <c r="J418" s="3"/>
      <c r="K418" s="3"/>
      <c r="L418" s="3"/>
      <c r="M418" s="3"/>
      <c r="N418" s="3"/>
      <c r="O418" s="3"/>
      <c r="P418" s="3"/>
      <c r="Q418" s="637"/>
      <c r="R418" s="3"/>
      <c r="S418" s="8"/>
      <c r="T418" s="3"/>
      <c r="U418" s="3"/>
      <c r="V418" s="3"/>
      <c r="W418" s="31"/>
      <c r="X418" s="3"/>
      <c r="Y418" s="3"/>
      <c r="Z418" s="3"/>
      <c r="AA418" s="637"/>
      <c r="AB418" s="8"/>
      <c r="AC418" s="637"/>
      <c r="AD418" s="8"/>
      <c r="AE418" s="637"/>
      <c r="AF418" s="3"/>
      <c r="AG418" s="3"/>
      <c r="AH418" s="3"/>
      <c r="AI418" s="8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22"/>
      <c r="AU418" s="22"/>
      <c r="AV418" s="22"/>
      <c r="AW418" s="22"/>
      <c r="AX418" s="8"/>
      <c r="AY418" s="3"/>
      <c r="AZ418" s="3"/>
      <c r="BA418" s="8"/>
    </row>
    <row x14ac:dyDescent="0.25" r="419" customHeight="1" ht="14.4">
      <c r="A419" s="440"/>
      <c r="B419" s="3"/>
      <c r="C419" s="3"/>
      <c r="D419" s="440"/>
      <c r="E419" s="8"/>
      <c r="F419" s="3"/>
      <c r="G419" s="3"/>
      <c r="H419" s="3"/>
      <c r="I419" s="8"/>
      <c r="J419" s="3"/>
      <c r="K419" s="3"/>
      <c r="L419" s="3"/>
      <c r="M419" s="3"/>
      <c r="N419" s="3"/>
      <c r="O419" s="3"/>
      <c r="P419" s="3"/>
      <c r="Q419" s="637"/>
      <c r="R419" s="3"/>
      <c r="S419" s="8"/>
      <c r="T419" s="3"/>
      <c r="U419" s="3"/>
      <c r="V419" s="3"/>
      <c r="W419" s="31"/>
      <c r="X419" s="3"/>
      <c r="Y419" s="3"/>
      <c r="Z419" s="3"/>
      <c r="AA419" s="637"/>
      <c r="AB419" s="8"/>
      <c r="AC419" s="637"/>
      <c r="AD419" s="8"/>
      <c r="AE419" s="637"/>
      <c r="AF419" s="3"/>
      <c r="AG419" s="3"/>
      <c r="AH419" s="3"/>
      <c r="AI419" s="8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22"/>
      <c r="AU419" s="22"/>
      <c r="AV419" s="22"/>
      <c r="AW419" s="22"/>
      <c r="AX419" s="8"/>
      <c r="AY419" s="3"/>
      <c r="AZ419" s="3"/>
      <c r="BA419" s="8"/>
    </row>
    <row x14ac:dyDescent="0.25" r="420" customHeight="1" ht="14.4">
      <c r="A420" s="440"/>
      <c r="B420" s="3"/>
      <c r="C420" s="3"/>
      <c r="D420" s="440"/>
      <c r="E420" s="8"/>
      <c r="F420" s="3"/>
      <c r="G420" s="3"/>
      <c r="H420" s="3"/>
      <c r="I420" s="8"/>
      <c r="J420" s="3"/>
      <c r="K420" s="3"/>
      <c r="L420" s="3"/>
      <c r="M420" s="3"/>
      <c r="N420" s="3"/>
      <c r="O420" s="3"/>
      <c r="P420" s="3"/>
      <c r="Q420" s="637"/>
      <c r="R420" s="3"/>
      <c r="S420" s="8"/>
      <c r="T420" s="3"/>
      <c r="U420" s="3"/>
      <c r="V420" s="3"/>
      <c r="W420" s="31"/>
      <c r="X420" s="3"/>
      <c r="Y420" s="3"/>
      <c r="Z420" s="3"/>
      <c r="AA420" s="637"/>
      <c r="AB420" s="8"/>
      <c r="AC420" s="637"/>
      <c r="AD420" s="8"/>
      <c r="AE420" s="637"/>
      <c r="AF420" s="3"/>
      <c r="AG420" s="3"/>
      <c r="AH420" s="3"/>
      <c r="AI420" s="8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22"/>
      <c r="AU420" s="22"/>
      <c r="AV420" s="22"/>
      <c r="AW420" s="22"/>
      <c r="AX420" s="8"/>
      <c r="AY420" s="3"/>
      <c r="AZ420" s="3"/>
      <c r="BA420" s="8"/>
    </row>
    <row x14ac:dyDescent="0.25" r="421" customHeight="1" ht="14.4">
      <c r="A421" s="440"/>
      <c r="B421" s="3"/>
      <c r="C421" s="3"/>
      <c r="D421" s="440"/>
      <c r="E421" s="8"/>
      <c r="F421" s="3"/>
      <c r="G421" s="3"/>
      <c r="H421" s="3"/>
      <c r="I421" s="8"/>
      <c r="J421" s="3"/>
      <c r="K421" s="3"/>
      <c r="L421" s="3"/>
      <c r="M421" s="3"/>
      <c r="N421" s="3"/>
      <c r="O421" s="3"/>
      <c r="P421" s="3"/>
      <c r="Q421" s="637"/>
      <c r="R421" s="3"/>
      <c r="S421" s="8"/>
      <c r="T421" s="3"/>
      <c r="U421" s="3"/>
      <c r="V421" s="3"/>
      <c r="W421" s="31"/>
      <c r="X421" s="3"/>
      <c r="Y421" s="3"/>
      <c r="Z421" s="3"/>
      <c r="AA421" s="637"/>
      <c r="AB421" s="8"/>
      <c r="AC421" s="637"/>
      <c r="AD421" s="8"/>
      <c r="AE421" s="637"/>
      <c r="AF421" s="3"/>
      <c r="AG421" s="3"/>
      <c r="AH421" s="3"/>
      <c r="AI421" s="8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22"/>
      <c r="AU421" s="22"/>
      <c r="AV421" s="22"/>
      <c r="AW421" s="22"/>
      <c r="AX421" s="8"/>
      <c r="AY421" s="3"/>
      <c r="AZ421" s="3"/>
      <c r="BA421" s="8"/>
    </row>
    <row x14ac:dyDescent="0.25" r="422" customHeight="1" ht="14.4">
      <c r="A422" s="440"/>
      <c r="B422" s="3"/>
      <c r="C422" s="3"/>
      <c r="D422" s="440"/>
      <c r="E422" s="8"/>
      <c r="F422" s="3"/>
      <c r="G422" s="3"/>
      <c r="H422" s="3"/>
      <c r="I422" s="8"/>
      <c r="J422" s="3"/>
      <c r="K422" s="3"/>
      <c r="L422" s="3"/>
      <c r="M422" s="3"/>
      <c r="N422" s="3"/>
      <c r="O422" s="3"/>
      <c r="P422" s="3"/>
      <c r="Q422" s="637"/>
      <c r="R422" s="3"/>
      <c r="S422" s="8"/>
      <c r="T422" s="3"/>
      <c r="U422" s="3"/>
      <c r="V422" s="3"/>
      <c r="W422" s="31"/>
      <c r="X422" s="3"/>
      <c r="Y422" s="3"/>
      <c r="Z422" s="3"/>
      <c r="AA422" s="637"/>
      <c r="AB422" s="8"/>
      <c r="AC422" s="637"/>
      <c r="AD422" s="8"/>
      <c r="AE422" s="637"/>
      <c r="AF422" s="3"/>
      <c r="AG422" s="3"/>
      <c r="AH422" s="3"/>
      <c r="AI422" s="8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22"/>
      <c r="AU422" s="22"/>
      <c r="AV422" s="22"/>
      <c r="AW422" s="22"/>
      <c r="AX422" s="8"/>
      <c r="AY422" s="3"/>
      <c r="AZ422" s="3"/>
      <c r="BA422" s="8"/>
    </row>
    <row x14ac:dyDescent="0.25" r="423" customHeight="1" ht="14.4">
      <c r="A423" s="440"/>
      <c r="B423" s="3"/>
      <c r="C423" s="3"/>
      <c r="D423" s="440"/>
      <c r="E423" s="8"/>
      <c r="F423" s="3"/>
      <c r="G423" s="3"/>
      <c r="H423" s="3"/>
      <c r="I423" s="8"/>
      <c r="J423" s="3"/>
      <c r="K423" s="3"/>
      <c r="L423" s="3"/>
      <c r="M423" s="3"/>
      <c r="N423" s="3"/>
      <c r="O423" s="3"/>
      <c r="P423" s="3"/>
      <c r="Q423" s="637"/>
      <c r="R423" s="3"/>
      <c r="S423" s="8"/>
      <c r="T423" s="3"/>
      <c r="U423" s="3"/>
      <c r="V423" s="3"/>
      <c r="W423" s="31"/>
      <c r="X423" s="3"/>
      <c r="Y423" s="3"/>
      <c r="Z423" s="3"/>
      <c r="AA423" s="637"/>
      <c r="AB423" s="8"/>
      <c r="AC423" s="637"/>
      <c r="AD423" s="8"/>
      <c r="AE423" s="637"/>
      <c r="AF423" s="3"/>
      <c r="AG423" s="3"/>
      <c r="AH423" s="3"/>
      <c r="AI423" s="8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22"/>
      <c r="AU423" s="22"/>
      <c r="AV423" s="22"/>
      <c r="AW423" s="22"/>
      <c r="AX423" s="8"/>
      <c r="AY423" s="3"/>
      <c r="AZ423" s="3"/>
      <c r="BA423" s="8"/>
    </row>
    <row x14ac:dyDescent="0.25" r="424" customHeight="1" ht="19.5">
      <c r="A424" s="440"/>
      <c r="B424" s="3"/>
      <c r="C424" s="3"/>
      <c r="D424" s="440"/>
      <c r="E424" s="8"/>
      <c r="F424" s="3"/>
      <c r="G424" s="3"/>
      <c r="H424" s="3"/>
      <c r="I424" s="8"/>
      <c r="J424" s="3"/>
      <c r="K424" s="3"/>
      <c r="L424" s="3"/>
      <c r="M424" s="3"/>
      <c r="N424" s="3"/>
      <c r="O424" s="3"/>
      <c r="P424" s="3"/>
      <c r="Q424" s="637"/>
      <c r="R424" s="3"/>
      <c r="S424" s="8"/>
      <c r="T424" s="3"/>
      <c r="U424" s="3"/>
      <c r="V424" s="3"/>
      <c r="W424" s="31"/>
      <c r="X424" s="3"/>
      <c r="Y424" s="3"/>
      <c r="Z424" s="3"/>
      <c r="AA424" s="637"/>
      <c r="AB424" s="8"/>
      <c r="AC424" s="637"/>
      <c r="AD424" s="8"/>
      <c r="AE424" s="637"/>
      <c r="AF424" s="3"/>
      <c r="AG424" s="3"/>
      <c r="AH424" s="3"/>
      <c r="AI424" s="8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22"/>
      <c r="AU424" s="22"/>
      <c r="AV424" s="22"/>
      <c r="AW424" s="22"/>
      <c r="AX424" s="8"/>
      <c r="AY424" s="3"/>
      <c r="AZ424" s="3"/>
      <c r="BA424" s="8"/>
    </row>
    <row x14ac:dyDescent="0.25" r="425" customHeight="1" ht="19.5">
      <c r="A425" s="440"/>
      <c r="B425" s="3"/>
      <c r="C425" s="3"/>
      <c r="D425" s="440"/>
      <c r="E425" s="8"/>
      <c r="F425" s="3"/>
      <c r="G425" s="3"/>
      <c r="H425" s="3"/>
      <c r="I425" s="8"/>
      <c r="J425" s="3"/>
      <c r="K425" s="3"/>
      <c r="L425" s="3"/>
      <c r="M425" s="3"/>
      <c r="N425" s="3"/>
      <c r="O425" s="3"/>
      <c r="P425" s="3"/>
      <c r="Q425" s="637"/>
      <c r="R425" s="3"/>
      <c r="S425" s="8"/>
      <c r="T425" s="3"/>
      <c r="U425" s="3"/>
      <c r="V425" s="3"/>
      <c r="W425" s="31"/>
      <c r="X425" s="3"/>
      <c r="Y425" s="3"/>
      <c r="Z425" s="3"/>
      <c r="AA425" s="637"/>
      <c r="AB425" s="8"/>
      <c r="AC425" s="637"/>
      <c r="AD425" s="8"/>
      <c r="AE425" s="637"/>
      <c r="AF425" s="3"/>
      <c r="AG425" s="3"/>
      <c r="AH425" s="3"/>
      <c r="AI425" s="8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22"/>
      <c r="AU425" s="22"/>
      <c r="AV425" s="22"/>
      <c r="AW425" s="22"/>
      <c r="AX425" s="8"/>
      <c r="AY425" s="3"/>
      <c r="AZ425" s="3"/>
      <c r="BA425" s="8"/>
    </row>
    <row x14ac:dyDescent="0.25" r="426" customHeight="1" ht="19.5">
      <c r="A426" s="440"/>
      <c r="B426" s="3"/>
      <c r="C426" s="3"/>
      <c r="D426" s="440"/>
      <c r="E426" s="8"/>
      <c r="F426" s="3"/>
      <c r="G426" s="3"/>
      <c r="H426" s="3"/>
      <c r="I426" s="8"/>
      <c r="J426" s="3"/>
      <c r="K426" s="3"/>
      <c r="L426" s="3"/>
      <c r="M426" s="3"/>
      <c r="N426" s="3"/>
      <c r="O426" s="3"/>
      <c r="P426" s="3"/>
      <c r="Q426" s="637"/>
      <c r="R426" s="3"/>
      <c r="S426" s="8"/>
      <c r="T426" s="3"/>
      <c r="U426" s="3"/>
      <c r="V426" s="3"/>
      <c r="W426" s="31"/>
      <c r="X426" s="3"/>
      <c r="Y426" s="3"/>
      <c r="Z426" s="3"/>
      <c r="AA426" s="637"/>
      <c r="AB426" s="8"/>
      <c r="AC426" s="637"/>
      <c r="AD426" s="8"/>
      <c r="AE426" s="637"/>
      <c r="AF426" s="3"/>
      <c r="AG426" s="3"/>
      <c r="AH426" s="3"/>
      <c r="AI426" s="8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22"/>
      <c r="AU426" s="22"/>
      <c r="AV426" s="22"/>
      <c r="AW426" s="22"/>
      <c r="AX426" s="8"/>
      <c r="AY426" s="3"/>
      <c r="AZ426" s="3"/>
      <c r="BA426" s="8"/>
    </row>
    <row x14ac:dyDescent="0.25" r="427" customHeight="1" ht="19.5">
      <c r="A427" s="440"/>
      <c r="B427" s="3"/>
      <c r="C427" s="3"/>
      <c r="D427" s="440"/>
      <c r="E427" s="8"/>
      <c r="F427" s="3"/>
      <c r="G427" s="3"/>
      <c r="H427" s="3"/>
      <c r="I427" s="8"/>
      <c r="J427" s="3"/>
      <c r="K427" s="3"/>
      <c r="L427" s="3"/>
      <c r="M427" s="3"/>
      <c r="N427" s="3"/>
      <c r="O427" s="3"/>
      <c r="P427" s="3"/>
      <c r="Q427" s="637"/>
      <c r="R427" s="3"/>
      <c r="S427" s="8"/>
      <c r="T427" s="3"/>
      <c r="U427" s="3"/>
      <c r="V427" s="3"/>
      <c r="W427" s="31"/>
      <c r="X427" s="3"/>
      <c r="Y427" s="3"/>
      <c r="Z427" s="3"/>
      <c r="AA427" s="637"/>
      <c r="AB427" s="8"/>
      <c r="AC427" s="637"/>
      <c r="AD427" s="8"/>
      <c r="AE427" s="637"/>
      <c r="AF427" s="3"/>
      <c r="AG427" s="3"/>
      <c r="AH427" s="3"/>
      <c r="AI427" s="8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22"/>
      <c r="AU427" s="22"/>
      <c r="AV427" s="22"/>
      <c r="AW427" s="22"/>
      <c r="AX427" s="8"/>
      <c r="AY427" s="3"/>
      <c r="AZ427" s="3"/>
      <c r="BA427" s="8"/>
    </row>
    <row x14ac:dyDescent="0.25" r="428" customHeight="1" ht="19.5">
      <c r="A428" s="440"/>
      <c r="B428" s="3"/>
      <c r="C428" s="3"/>
      <c r="D428" s="440"/>
      <c r="E428" s="8"/>
      <c r="F428" s="3"/>
      <c r="G428" s="3"/>
      <c r="H428" s="3"/>
      <c r="I428" s="8"/>
      <c r="J428" s="3"/>
      <c r="K428" s="3"/>
      <c r="L428" s="3"/>
      <c r="M428" s="3"/>
      <c r="N428" s="3"/>
      <c r="O428" s="3"/>
      <c r="P428" s="3"/>
      <c r="Q428" s="637"/>
      <c r="R428" s="3"/>
      <c r="S428" s="8"/>
      <c r="T428" s="3"/>
      <c r="U428" s="3"/>
      <c r="V428" s="3"/>
      <c r="W428" s="31"/>
      <c r="X428" s="3"/>
      <c r="Y428" s="3"/>
      <c r="Z428" s="3"/>
      <c r="AA428" s="637"/>
      <c r="AB428" s="8"/>
      <c r="AC428" s="637"/>
      <c r="AD428" s="8"/>
      <c r="AE428" s="637"/>
      <c r="AF428" s="3"/>
      <c r="AG428" s="3"/>
      <c r="AH428" s="3"/>
      <c r="AI428" s="8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22"/>
      <c r="AU428" s="22"/>
      <c r="AV428" s="22"/>
      <c r="AW428" s="22"/>
      <c r="AX428" s="8"/>
      <c r="AY428" s="3"/>
      <c r="AZ428" s="3"/>
      <c r="BA428" s="8"/>
    </row>
    <row x14ac:dyDescent="0.25" r="429" customHeight="1" ht="19.5">
      <c r="A429" s="440"/>
      <c r="B429" s="3"/>
      <c r="C429" s="3"/>
      <c r="D429" s="440"/>
      <c r="E429" s="8"/>
      <c r="F429" s="3"/>
      <c r="G429" s="3"/>
      <c r="H429" s="3"/>
      <c r="I429" s="8"/>
      <c r="J429" s="3"/>
      <c r="K429" s="3"/>
      <c r="L429" s="3"/>
      <c r="M429" s="3"/>
      <c r="N429" s="3"/>
      <c r="O429" s="3"/>
      <c r="P429" s="3"/>
      <c r="Q429" s="637"/>
      <c r="R429" s="3"/>
      <c r="S429" s="8"/>
      <c r="T429" s="3"/>
      <c r="U429" s="3"/>
      <c r="V429" s="3"/>
      <c r="W429" s="31"/>
      <c r="X429" s="3"/>
      <c r="Y429" s="3"/>
      <c r="Z429" s="3"/>
      <c r="AA429" s="637"/>
      <c r="AB429" s="8"/>
      <c r="AC429" s="637"/>
      <c r="AD429" s="8"/>
      <c r="AE429" s="637"/>
      <c r="AF429" s="3"/>
      <c r="AG429" s="3"/>
      <c r="AH429" s="3"/>
      <c r="AI429" s="8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22"/>
      <c r="AU429" s="22"/>
      <c r="AV429" s="22"/>
      <c r="AW429" s="22"/>
      <c r="AX429" s="8"/>
      <c r="AY429" s="3"/>
      <c r="AZ429" s="3"/>
      <c r="BA429" s="8"/>
    </row>
    <row x14ac:dyDescent="0.25" r="430" customHeight="1" ht="19.5">
      <c r="A430" s="440"/>
      <c r="B430" s="3"/>
      <c r="C430" s="3"/>
      <c r="D430" s="440"/>
      <c r="E430" s="8"/>
      <c r="F430" s="3"/>
      <c r="G430" s="3"/>
      <c r="H430" s="3"/>
      <c r="I430" s="8"/>
      <c r="J430" s="3"/>
      <c r="K430" s="3"/>
      <c r="L430" s="3"/>
      <c r="M430" s="3"/>
      <c r="N430" s="3"/>
      <c r="O430" s="3"/>
      <c r="P430" s="3"/>
      <c r="Q430" s="637"/>
      <c r="R430" s="3"/>
      <c r="S430" s="8"/>
      <c r="T430" s="3"/>
      <c r="U430" s="3"/>
      <c r="V430" s="3"/>
      <c r="W430" s="31"/>
      <c r="X430" s="3"/>
      <c r="Y430" s="3"/>
      <c r="Z430" s="3"/>
      <c r="AA430" s="637"/>
      <c r="AB430" s="8"/>
      <c r="AC430" s="637"/>
      <c r="AD430" s="8"/>
      <c r="AE430" s="637"/>
      <c r="AF430" s="3"/>
      <c r="AG430" s="3"/>
      <c r="AH430" s="3"/>
      <c r="AI430" s="8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22"/>
      <c r="AU430" s="22"/>
      <c r="AV430" s="22"/>
      <c r="AW430" s="22"/>
      <c r="AX430" s="8"/>
      <c r="AY430" s="3"/>
      <c r="AZ430" s="3"/>
      <c r="BA430" s="8"/>
    </row>
    <row x14ac:dyDescent="0.25" r="431" customHeight="1" ht="19.5">
      <c r="A431" s="440"/>
      <c r="B431" s="3"/>
      <c r="C431" s="3"/>
      <c r="D431" s="440"/>
      <c r="E431" s="8"/>
      <c r="F431" s="3"/>
      <c r="G431" s="3"/>
      <c r="H431" s="3"/>
      <c r="I431" s="8"/>
      <c r="J431" s="3"/>
      <c r="K431" s="3"/>
      <c r="L431" s="3"/>
      <c r="M431" s="3"/>
      <c r="N431" s="3"/>
      <c r="O431" s="3"/>
      <c r="P431" s="3"/>
      <c r="Q431" s="637"/>
      <c r="R431" s="3"/>
      <c r="S431" s="8"/>
      <c r="T431" s="3"/>
      <c r="U431" s="3"/>
      <c r="V431" s="3"/>
      <c r="W431" s="31"/>
      <c r="X431" s="3"/>
      <c r="Y431" s="3"/>
      <c r="Z431" s="3"/>
      <c r="AA431" s="637"/>
      <c r="AB431" s="8"/>
      <c r="AC431" s="637"/>
      <c r="AD431" s="8"/>
      <c r="AE431" s="637"/>
      <c r="AF431" s="3"/>
      <c r="AG431" s="3"/>
      <c r="AH431" s="3"/>
      <c r="AI431" s="8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22"/>
      <c r="AU431" s="22"/>
      <c r="AV431" s="22"/>
      <c r="AW431" s="22"/>
      <c r="AX431" s="8"/>
      <c r="AY431" s="3"/>
      <c r="AZ431" s="3"/>
      <c r="BA431" s="8"/>
    </row>
    <row x14ac:dyDescent="0.25" r="432" customHeight="1" ht="19.5">
      <c r="A432" s="440"/>
      <c r="B432" s="3"/>
      <c r="C432" s="3"/>
      <c r="D432" s="440"/>
      <c r="E432" s="8"/>
      <c r="F432" s="3"/>
      <c r="G432" s="3"/>
      <c r="H432" s="3"/>
      <c r="I432" s="8"/>
      <c r="J432" s="3"/>
      <c r="K432" s="3"/>
      <c r="L432" s="3"/>
      <c r="M432" s="3"/>
      <c r="N432" s="3"/>
      <c r="O432" s="3"/>
      <c r="P432" s="3"/>
      <c r="Q432" s="637"/>
      <c r="R432" s="3"/>
      <c r="S432" s="8"/>
      <c r="T432" s="3"/>
      <c r="U432" s="3"/>
      <c r="V432" s="3"/>
      <c r="W432" s="31"/>
      <c r="X432" s="3"/>
      <c r="Y432" s="3"/>
      <c r="Z432" s="3"/>
      <c r="AA432" s="637"/>
      <c r="AB432" s="8"/>
      <c r="AC432" s="637"/>
      <c r="AD432" s="8"/>
      <c r="AE432" s="637"/>
      <c r="AF432" s="3"/>
      <c r="AG432" s="3"/>
      <c r="AH432" s="3"/>
      <c r="AI432" s="8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22"/>
      <c r="AU432" s="22"/>
      <c r="AV432" s="22"/>
      <c r="AW432" s="22"/>
      <c r="AX432" s="8"/>
      <c r="AY432" s="3"/>
      <c r="AZ432" s="3"/>
      <c r="BA432" s="8"/>
    </row>
    <row x14ac:dyDescent="0.25" r="433" customHeight="1" ht="19.5">
      <c r="A433" s="440"/>
      <c r="B433" s="3"/>
      <c r="C433" s="3"/>
      <c r="D433" s="440"/>
      <c r="E433" s="8"/>
      <c r="F433" s="3"/>
      <c r="G433" s="3"/>
      <c r="H433" s="3"/>
      <c r="I433" s="8"/>
      <c r="J433" s="3"/>
      <c r="K433" s="3"/>
      <c r="L433" s="3"/>
      <c r="M433" s="3"/>
      <c r="N433" s="3"/>
      <c r="O433" s="3"/>
      <c r="P433" s="3"/>
      <c r="Q433" s="637"/>
      <c r="R433" s="3"/>
      <c r="S433" s="8"/>
      <c r="T433" s="3"/>
      <c r="U433" s="3"/>
      <c r="V433" s="3"/>
      <c r="W433" s="31"/>
      <c r="X433" s="3"/>
      <c r="Y433" s="3"/>
      <c r="Z433" s="3"/>
      <c r="AA433" s="637"/>
      <c r="AB433" s="8"/>
      <c r="AC433" s="637"/>
      <c r="AD433" s="8"/>
      <c r="AE433" s="637"/>
      <c r="AF433" s="3"/>
      <c r="AG433" s="3"/>
      <c r="AH433" s="3"/>
      <c r="AI433" s="8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22"/>
      <c r="AU433" s="22"/>
      <c r="AV433" s="22"/>
      <c r="AW433" s="22"/>
      <c r="AX433" s="8"/>
      <c r="AY433" s="3"/>
      <c r="AZ433" s="3"/>
      <c r="BA433" s="8"/>
    </row>
  </sheetData>
  <mergeCells count="3">
    <mergeCell ref="C1:L1"/>
    <mergeCell ref="N1:U1"/>
    <mergeCell ref="X1:A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E14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7" width="11.862142857142858" customWidth="1" bestFit="1"/>
    <col min="2" max="2" style="17" width="25.14785714285714" customWidth="1" bestFit="1"/>
    <col min="3" max="3" style="400" width="12.005" customWidth="1" bestFit="1"/>
    <col min="4" max="4" style="18" width="12.005" customWidth="1" bestFit="1"/>
    <col min="5" max="5" style="18" width="12.147857142857141" customWidth="1" bestFit="1"/>
    <col min="6" max="6" style="18" width="12.005" customWidth="1" bestFit="1"/>
    <col min="7" max="7" style="400" width="12.005" customWidth="1" bestFit="1"/>
    <col min="8" max="8" style="400" width="12.005" customWidth="1" bestFit="1"/>
    <col min="9" max="9" style="18" width="12.005" customWidth="1" bestFit="1"/>
    <col min="10" max="10" style="18" width="12.005" customWidth="1" bestFit="1"/>
    <col min="11" max="11" style="18" width="12.005" customWidth="1" bestFit="1"/>
    <col min="12" max="12" style="400" width="12.005" customWidth="1" bestFit="1"/>
    <col min="13" max="13" style="400" width="12.005" customWidth="1" bestFit="1"/>
    <col min="14" max="14" style="400" width="12.005" customWidth="1" bestFit="1"/>
    <col min="15" max="15" style="400" width="12.005" customWidth="1" bestFit="1"/>
    <col min="16" max="16" style="400" width="12.005" customWidth="1" bestFit="1"/>
    <col min="17" max="17" style="400" width="12.005" customWidth="1" bestFit="1"/>
    <col min="18" max="18" style="400" width="12.005" customWidth="1" bestFit="1"/>
    <col min="19" max="19" style="400" width="12.005" customWidth="1" bestFit="1"/>
    <col min="20" max="20" style="400" width="12.005" customWidth="1" bestFit="1"/>
    <col min="21" max="21" style="400" width="12.005" customWidth="1" bestFit="1"/>
    <col min="22" max="22" style="400" width="12.005" customWidth="1" bestFit="1"/>
    <col min="23" max="23" style="400" width="12.005" customWidth="1" bestFit="1"/>
    <col min="24" max="24" style="400" width="12.005" customWidth="1" bestFit="1"/>
    <col min="25" max="25" style="400" width="12.005" customWidth="1" bestFit="1"/>
    <col min="26" max="26" style="400" width="12.005" customWidth="1" bestFit="1"/>
    <col min="27" max="27" style="400" width="12.005" customWidth="1" bestFit="1"/>
    <col min="28" max="28" style="400" width="12.005" customWidth="1" bestFit="1"/>
    <col min="29" max="29" style="400" width="12.005" customWidth="1" bestFit="1"/>
    <col min="30" max="30" style="400" width="12.005" customWidth="1" bestFit="1"/>
    <col min="31" max="31" style="400" width="12.005" customWidth="1" bestFit="1"/>
    <col min="32" max="32" style="400" width="12.005" customWidth="1" bestFit="1"/>
    <col min="33" max="33" style="400" width="12.005" customWidth="1" bestFit="1"/>
    <col min="34" max="34" style="400" width="12.005" customWidth="1" bestFit="1"/>
    <col min="35" max="35" style="400" width="12.005" customWidth="1" bestFit="1"/>
    <col min="36" max="36" style="400" width="12.005" customWidth="1" bestFit="1"/>
    <col min="37" max="37" style="400" width="12.005" customWidth="1" bestFit="1"/>
    <col min="38" max="38" style="400" width="12.005" customWidth="1" bestFit="1"/>
    <col min="39" max="39" style="400" width="12.005" customWidth="1" bestFit="1"/>
    <col min="40" max="40" style="400" width="12.005" customWidth="1" bestFit="1"/>
    <col min="41" max="41" style="400" width="12.005" customWidth="1" bestFit="1"/>
    <col min="42" max="42" style="400" width="12.005" customWidth="1" bestFit="1"/>
    <col min="43" max="43" style="400" width="12.005" customWidth="1" bestFit="1"/>
    <col min="44" max="44" style="400" width="12.005" customWidth="1" bestFit="1"/>
    <col min="45" max="45" style="400" width="12.005" customWidth="1" bestFit="1"/>
    <col min="46" max="46" style="400" width="12.005" customWidth="1" bestFit="1"/>
    <col min="47" max="47" style="400" width="12.005" customWidth="1" bestFit="1"/>
    <col min="48" max="48" style="400" width="12.005" customWidth="1" bestFit="1"/>
    <col min="49" max="49" style="400" width="12.005" customWidth="1" bestFit="1"/>
    <col min="50" max="50" style="400" width="12.005" customWidth="1" bestFit="1"/>
    <col min="51" max="51" style="400" width="12.005" customWidth="1" bestFit="1"/>
    <col min="52" max="52" style="400" width="12.005" customWidth="1" bestFit="1"/>
    <col min="53" max="53" style="400" width="12.005" customWidth="1" bestFit="1"/>
    <col min="54" max="54" style="400" width="12.005" customWidth="1" bestFit="1"/>
    <col min="55" max="55" style="17" width="14.147857142857141" customWidth="1" bestFit="1"/>
    <col min="56" max="56" style="17" width="14.147857142857141" customWidth="1" bestFit="1"/>
    <col min="57" max="57" style="17" width="14.147857142857141" customWidth="1" bestFit="1"/>
  </cols>
  <sheetData>
    <row x14ac:dyDescent="0.25" r="1" customHeight="1" ht="19.5">
      <c r="A1" s="493" t="s">
        <v>86</v>
      </c>
      <c r="B1" s="3"/>
      <c r="C1" s="494" t="s">
        <v>88</v>
      </c>
      <c r="D1" s="495" t="s">
        <v>89</v>
      </c>
      <c r="E1" s="495" t="s">
        <v>90</v>
      </c>
      <c r="F1" s="496" t="s">
        <v>91</v>
      </c>
      <c r="G1" s="497" t="s">
        <v>92</v>
      </c>
      <c r="H1" s="497" t="s">
        <v>93</v>
      </c>
      <c r="I1" s="498" t="s">
        <v>94</v>
      </c>
      <c r="J1" s="499" t="s">
        <v>95</v>
      </c>
      <c r="K1" s="495" t="s">
        <v>96</v>
      </c>
      <c r="L1" s="500" t="s">
        <v>97</v>
      </c>
      <c r="M1" s="500" t="s">
        <v>98</v>
      </c>
      <c r="N1" s="500" t="s">
        <v>99</v>
      </c>
      <c r="O1" s="500" t="s">
        <v>100</v>
      </c>
      <c r="P1" s="497" t="s">
        <v>101</v>
      </c>
      <c r="Q1" s="497" t="s">
        <v>102</v>
      </c>
      <c r="R1" s="497" t="s">
        <v>103</v>
      </c>
      <c r="S1" s="497" t="s">
        <v>104</v>
      </c>
      <c r="T1" s="500" t="s">
        <v>105</v>
      </c>
      <c r="U1" s="500" t="s">
        <v>106</v>
      </c>
      <c r="V1" s="500" t="s">
        <v>107</v>
      </c>
      <c r="W1" s="500" t="s">
        <v>108</v>
      </c>
      <c r="X1" s="497" t="s">
        <v>109</v>
      </c>
      <c r="Y1" s="497" t="s">
        <v>110</v>
      </c>
      <c r="Z1" s="497" t="s">
        <v>111</v>
      </c>
      <c r="AA1" s="497" t="s">
        <v>112</v>
      </c>
      <c r="AB1" s="497" t="s">
        <v>113</v>
      </c>
      <c r="AC1" s="500" t="s">
        <v>114</v>
      </c>
      <c r="AD1" s="500" t="s">
        <v>115</v>
      </c>
      <c r="AE1" s="500" t="s">
        <v>116</v>
      </c>
      <c r="AF1" s="500" t="s">
        <v>117</v>
      </c>
      <c r="AG1" s="497" t="s">
        <v>118</v>
      </c>
      <c r="AH1" s="497" t="s">
        <v>119</v>
      </c>
      <c r="AI1" s="497" t="s">
        <v>120</v>
      </c>
      <c r="AJ1" s="497" t="s">
        <v>121</v>
      </c>
      <c r="AK1" s="500" t="s">
        <v>122</v>
      </c>
      <c r="AL1" s="500" t="s">
        <v>123</v>
      </c>
      <c r="AM1" s="500" t="s">
        <v>124</v>
      </c>
      <c r="AN1" s="500" t="s">
        <v>125</v>
      </c>
      <c r="AO1" s="500" t="s">
        <v>126</v>
      </c>
      <c r="AP1" s="497" t="s">
        <v>127</v>
      </c>
      <c r="AQ1" s="497" t="s">
        <v>128</v>
      </c>
      <c r="AR1" s="497" t="s">
        <v>129</v>
      </c>
      <c r="AS1" s="497" t="s">
        <v>130</v>
      </c>
      <c r="AT1" s="500" t="s">
        <v>131</v>
      </c>
      <c r="AU1" s="500" t="s">
        <v>132</v>
      </c>
      <c r="AV1" s="500" t="s">
        <v>133</v>
      </c>
      <c r="AW1" s="500" t="s">
        <v>134</v>
      </c>
      <c r="AX1" s="497" t="s">
        <v>135</v>
      </c>
      <c r="AY1" s="497" t="s">
        <v>136</v>
      </c>
      <c r="AZ1" s="497" t="s">
        <v>137</v>
      </c>
      <c r="BA1" s="497" t="s">
        <v>138</v>
      </c>
      <c r="BB1" s="497" t="s">
        <v>139</v>
      </c>
      <c r="BC1" s="3"/>
      <c r="BD1" s="3"/>
      <c r="BE1" s="3"/>
    </row>
    <row x14ac:dyDescent="0.25" r="2" customHeight="1" ht="19.5">
      <c r="A2" s="127">
        <f>SUM(C2:BB2)</f>
      </c>
      <c r="B2" s="21" t="s">
        <v>140</v>
      </c>
      <c r="C2" s="127">
        <f>SUMPRODUCT((Data!$C$3:$C$201='Weekly Data'!C1)*(Data!$I$3:$I$201))</f>
      </c>
      <c r="D2" s="127">
        <f>SUMPRODUCT((Data!$C$3:$C$201='Weekly Data'!D1)*(Data!$I$3:$I$201))</f>
      </c>
      <c r="E2" s="127">
        <f>SUMPRODUCT((Data!$C$3:$C$201='Weekly Data'!E1)*(Data!$I$3:$I$201))</f>
      </c>
      <c r="F2" s="127">
        <f>SUMPRODUCT((Data!$C$3:$C$201='Weekly Data'!F1)*(Data!$I$3:$I$201))</f>
      </c>
      <c r="G2" s="127">
        <f>SUMPRODUCT((Data!$C$3:$C$201='Weekly Data'!G1)*(Data!$I$3:$I$201))</f>
      </c>
      <c r="H2" s="127">
        <f>SUMPRODUCT((Data!$C$3:$C$201='Weekly Data'!H1)*(Data!$I$3:$I$201))</f>
      </c>
      <c r="I2" s="127">
        <f>SUMPRODUCT((Data!$C$3:$C$201='Weekly Data'!I1)*(Data!$I$3:$I$201))</f>
      </c>
      <c r="J2" s="127">
        <f>SUMPRODUCT((Data!$C$3:$C$201='Weekly Data'!J1)*(Data!$I$3:$I$201))</f>
      </c>
      <c r="K2" s="127">
        <f>SUMPRODUCT((Data!$C$3:$C$201='Weekly Data'!K1)*(Data!$I$3:$I$201))</f>
      </c>
      <c r="L2" s="127">
        <f>SUMPRODUCT((Data!$C$3:$C$201='Weekly Data'!L1)*(Data!$I$3:$I$201))</f>
      </c>
      <c r="M2" s="127">
        <f>SUMPRODUCT((Data!$C$3:$C$201='Weekly Data'!M1)*(Data!$I$3:$I$201))</f>
      </c>
      <c r="N2" s="127">
        <f>SUMPRODUCT((Data!$C$3:$C$201='Weekly Data'!N1)*(Data!$I$3:$I$201))</f>
      </c>
      <c r="O2" s="127">
        <f>SUMPRODUCT((Data!$C$3:$C$201='Weekly Data'!O1)*(Data!$I$3:$I$201))</f>
      </c>
      <c r="P2" s="127">
        <f>SUMPRODUCT((Data!$C$3:$C$201='Weekly Data'!P1)*(Data!$I$3:$I$201))</f>
      </c>
      <c r="Q2" s="127">
        <f>SUMPRODUCT((Data!$C$3:$C$201='Weekly Data'!Q1)*(Data!$I$3:$I$201))</f>
      </c>
      <c r="R2" s="127">
        <f>SUMPRODUCT((Data!$C$3:$C$201='Weekly Data'!R1)*(Data!$I$3:$I$201))</f>
      </c>
      <c r="S2" s="127">
        <f>SUMPRODUCT((Data!$C$3:$C$201='Weekly Data'!S1)*(Data!$I$3:$I$201))</f>
      </c>
      <c r="T2" s="127">
        <f>SUMPRODUCT((Data!$C$3:$C$201='Weekly Data'!T1)*(Data!$I$3:$I$201))</f>
      </c>
      <c r="U2" s="127">
        <f>SUMPRODUCT((Data!$C$3:$C$201='Weekly Data'!U1)*(Data!$I$3:$I$201))</f>
      </c>
      <c r="V2" s="127">
        <f>SUMPRODUCT((Data!$C$3:$C$201='Weekly Data'!V1)*(Data!$I$3:$I$201))</f>
      </c>
      <c r="W2" s="127">
        <f>SUMPRODUCT((Data!$C$3:$C$201='Weekly Data'!W1)*(Data!$I$3:$I$201))</f>
      </c>
      <c r="X2" s="127">
        <f>SUMPRODUCT((Data!$C$3:$C$201='Weekly Data'!X1)*(Data!$I$3:$I$201))</f>
      </c>
      <c r="Y2" s="127">
        <f>SUMPRODUCT((Data!$C$3:$C$201='Weekly Data'!Y1)*(Data!$I$3:$I$201))</f>
      </c>
      <c r="Z2" s="127">
        <f>SUMPRODUCT((Data!$C$3:$C$201='Weekly Data'!Z1)*(Data!$I$3:$I$201))</f>
      </c>
      <c r="AA2" s="127">
        <f>SUMPRODUCT((Data!$C$3:$C$201='Weekly Data'!AA1)*(Data!$I$3:$I$201))</f>
      </c>
      <c r="AB2" s="127">
        <f>SUMPRODUCT((Data!$C$3:$C$201='Weekly Data'!AB1)*(Data!$I$3:$I$201))</f>
      </c>
      <c r="AC2" s="127">
        <f>SUMPRODUCT((Data!$C$3:$C$201='Weekly Data'!AC1)*(Data!$I$3:$I$201))</f>
      </c>
      <c r="AD2" s="127">
        <f>SUMPRODUCT((Data!$C$3:$C$201='Weekly Data'!AD1)*(Data!$I$3:$I$201))</f>
      </c>
      <c r="AE2" s="127">
        <f>SUMPRODUCT((Data!$C$3:$C$201='Weekly Data'!AE1)*(Data!$I$3:$I$201))</f>
      </c>
      <c r="AF2" s="127">
        <f>SUMPRODUCT((Data!$C$3:$C$201='Weekly Data'!AF1)*(Data!$I$3:$I$201))</f>
      </c>
      <c r="AG2" s="127">
        <f>SUMPRODUCT((Data!$C$3:$C$201='Weekly Data'!AG1)*(Data!$I$3:$I$201))</f>
      </c>
      <c r="AH2" s="127">
        <f>SUMPRODUCT((Data!$C$3:$C$201='Weekly Data'!AH1)*(Data!$I$3:$I$201))</f>
      </c>
      <c r="AI2" s="127">
        <f>SUMPRODUCT((Data!$C$3:$C$201='Weekly Data'!AI1)*(Data!$I$3:$I$201))</f>
      </c>
      <c r="AJ2" s="127">
        <f>SUMPRODUCT((Data!$C$3:$C$201='Weekly Data'!AJ1)*(Data!$I$3:$I$201))</f>
      </c>
      <c r="AK2" s="127">
        <f>SUMPRODUCT((Data!$C$3:$C$201='Weekly Data'!AK1)*(Data!$I$3:$I$201))</f>
      </c>
      <c r="AL2" s="127">
        <f>SUMPRODUCT((Data!$C$3:$C$201='Weekly Data'!AL1)*(Data!$I$3:$I$201))</f>
      </c>
      <c r="AM2" s="127">
        <f>SUMPRODUCT((Data!$C$3:$C$201='Weekly Data'!AM1)*(Data!$I$3:$I$201))</f>
      </c>
      <c r="AN2" s="127">
        <f>SUMPRODUCT((Data!$C$3:$C$201='Weekly Data'!AN1)*(Data!$I$3:$I$201))</f>
      </c>
      <c r="AO2" s="127">
        <f>SUMPRODUCT((Data!$C$3:$C$201='Weekly Data'!AO1)*(Data!$I$3:$I$201))</f>
      </c>
      <c r="AP2" s="127">
        <f>SUMPRODUCT((Data!$C$3:$C$201='Weekly Data'!AP1)*(Data!$I$3:$I$201))</f>
      </c>
      <c r="AQ2" s="127">
        <f>SUMPRODUCT((Data!$C$3:$C$201='Weekly Data'!AQ1)*(Data!$I$3:$I$201))</f>
      </c>
      <c r="AR2" s="127">
        <f>SUMPRODUCT((Data!$C$3:$C$201='Weekly Data'!AR1)*(Data!$I$3:$I$201))</f>
      </c>
      <c r="AS2" s="127">
        <f>SUMPRODUCT((Data!$C$3:$C$201='Weekly Data'!AS1)*(Data!$I$3:$I$201))</f>
      </c>
      <c r="AT2" s="127">
        <f>SUMPRODUCT((Data!$C$3:$C$201='Weekly Data'!AT1)*(Data!$I$3:$I$201))</f>
      </c>
      <c r="AU2" s="127">
        <f>SUMPRODUCT((Data!$C$3:$C$201='Weekly Data'!AU1)*(Data!$I$3:$I$201))</f>
      </c>
      <c r="AV2" s="127">
        <f>SUMPRODUCT((Data!$C$3:$C$201='Weekly Data'!AV1)*(Data!$I$3:$I$201))</f>
      </c>
      <c r="AW2" s="127">
        <f>SUMPRODUCT((Data!$C$3:$C$201='Weekly Data'!AW1)*(Data!$I$3:$I$201))</f>
      </c>
      <c r="AX2" s="127">
        <f>SUMPRODUCT((Data!$C$3:$C$201='Weekly Data'!AX1)*(Data!$I$3:$I$201))</f>
      </c>
      <c r="AY2" s="127">
        <f>SUMPRODUCT((Data!$C$3:$C$201='Weekly Data'!AY1)*(Data!$I$3:$I$201))</f>
      </c>
      <c r="AZ2" s="127">
        <f>SUMPRODUCT((Data!$C$3:$C$201='Weekly Data'!AZ1)*(Data!$G$3:$G$201&lt;&gt;"AIA")*(Data!$I$3:$I$201))</f>
      </c>
      <c r="BA2" s="127">
        <f>SUMPRODUCT((Data!$C$3:$C$201='Weekly Data'!BA1)*(Data!$I$3:$I$201))</f>
      </c>
      <c r="BB2" s="127">
        <f>SUMPRODUCT((Data!$C$3:$C$201='Weekly Data'!BB1)*(Data!$I$3:$I$201))</f>
      </c>
      <c r="BC2" s="3"/>
      <c r="BD2" s="3"/>
      <c r="BE2" s="3"/>
    </row>
    <row x14ac:dyDescent="0.25" r="3" customHeight="1" ht="19.5">
      <c r="A3" s="127">
        <f>SUM(C3:BB3)</f>
      </c>
      <c r="B3" s="21" t="s">
        <v>141</v>
      </c>
      <c r="C3" s="127">
        <f>SUMIFS(Data!$S$3:$S$178,Data!$N$3:$N$178,C$1,Data!$O$3:$O$178,2022)</f>
      </c>
      <c r="D3" s="127">
        <f>SUMIFS(Data!$S$3:$S$178,Data!$N$3:$N$178,D$1,Data!$O$3:$O$178,2022)</f>
      </c>
      <c r="E3" s="127">
        <f>SUMIFS(Data!$S$3:$S$178,Data!$N$3:$N$178,E$1,Data!$O$3:$O$178,2022)</f>
      </c>
      <c r="F3" s="127">
        <f>SUMIFS(Data!$S$3:$S$178,Data!$N$3:$N$178,F$1,Data!$O$3:$O$178,2022)</f>
      </c>
      <c r="G3" s="127">
        <f>SUMIFS(Data!$S$3:$S$178,Data!$N$3:$N$178,G$1,Data!$O$3:$O$178,2022)</f>
      </c>
      <c r="H3" s="127">
        <f>SUMIFS(Data!$S$3:$S$178,Data!$N$3:$N$178,H$1,Data!$O$3:$O$178,2022)</f>
      </c>
      <c r="I3" s="127">
        <f>SUMIFS(Data!$S$3:$S$178,Data!$N$3:$N$178,I$1,Data!$O$3:$O$178,2022)</f>
      </c>
      <c r="J3" s="127">
        <f>SUMIFS(Data!$S$3:$S$178,Data!$N$3:$N$178,J$1,Data!$O$3:$O$178,2022)</f>
      </c>
      <c r="K3" s="127">
        <f>SUMIFS(Data!$S$3:$S$178,Data!$N$3:$N$178,K$1,Data!$O$3:$O$178,2022)</f>
      </c>
      <c r="L3" s="127">
        <f>SUMIFS(Data!$S$3:$S$178,Data!$N$3:$N$178,L$1,Data!$O$3:$O$178,2022)</f>
      </c>
      <c r="M3" s="127">
        <f>SUMIFS(Data!$S$3:$S$178,Data!$N$3:$N$178,M$1,Data!$O$3:$O$178,2022)</f>
      </c>
      <c r="N3" s="127">
        <f>SUMIFS(Data!$S$3:$S$178,Data!$N$3:$N$178,N$1,Data!$O$3:$O$178,2022)</f>
      </c>
      <c r="O3" s="127">
        <f>SUMIFS(Data!$S$3:$S$178,Data!$N$3:$N$178,O$1,Data!$O$3:$O$178,2022)</f>
      </c>
      <c r="P3" s="127">
        <f>SUMIFS(Data!$S$3:$S$178,Data!$N$3:$N$178,P$1,Data!$O$3:$O$178,2022)</f>
      </c>
      <c r="Q3" s="127">
        <f>SUMIFS(Data!$S$3:$S$178,Data!$N$3:$N$178,Q$1,Data!$O$3:$O$178,2022)</f>
      </c>
      <c r="R3" s="127">
        <f>SUMIFS(Data!$S$3:$S$178,Data!$N$3:$N$178,R$1,Data!$O$3:$O$178,2022)</f>
      </c>
      <c r="S3" s="127">
        <f>SUMIFS(Data!$S$3:$S$178,Data!$N$3:$N$178,S$1,Data!$O$3:$O$178,2022)</f>
      </c>
      <c r="T3" s="127">
        <f>SUMIFS(Data!$S$3:$S$178,Data!$N$3:$N$178,T$1,Data!$O$3:$O$178,2022)</f>
      </c>
      <c r="U3" s="127">
        <f>SUMIFS(Data!$S$3:$S$178,Data!$N$3:$N$178,U$1,Data!$O$3:$O$178,2022)</f>
      </c>
      <c r="V3" s="127">
        <f>SUMIFS(Data!$S$3:$S$178,Data!$N$3:$N$178,V$1,Data!$O$3:$O$178,2022)</f>
      </c>
      <c r="W3" s="127">
        <f>SUMIFS(Data!$S$3:$S$178,Data!$N$3:$N$178,W$1,Data!$O$3:$O$178,2022)</f>
      </c>
      <c r="X3" s="127">
        <f>SUMIFS(Data!$S$3:$S$178,Data!$N$3:$N$178,X$1,Data!$O$3:$O$178,2022)</f>
      </c>
      <c r="Y3" s="127">
        <f>SUMIFS(Data!$S$3:$S$178,Data!$N$3:$N$178,Y$1,Data!$O$3:$O$178,2022)</f>
      </c>
      <c r="Z3" s="127">
        <f>SUMIFS(Data!$S$3:$S$178,Data!$N$3:$N$178,Z$1,Data!$O$3:$O$178,2022)</f>
      </c>
      <c r="AA3" s="127">
        <f>SUMIFS(Data!$S$3:$S$178,Data!$N$3:$N$178,AA$1,Data!$O$3:$O$178,2022)</f>
      </c>
      <c r="AB3" s="127">
        <f>SUMIFS(Data!$S$3:$S$178,Data!$N$3:$N$178,AB$1,Data!$O$3:$O$178,2022)</f>
      </c>
      <c r="AC3" s="127">
        <f>SUMIFS(Data!$S$3:$S$178,Data!$N$3:$N$178,AC$1,Data!$O$3:$O$178,2022)</f>
      </c>
      <c r="AD3" s="127">
        <f>SUMIFS(Data!$S$3:$S$178,Data!$N$3:$N$178,AD$1,Data!$O$3:$O$178,2022)</f>
      </c>
      <c r="AE3" s="127">
        <f>SUMIFS(Data!$S$3:$S$178,Data!$N$3:$N$178,AE$1,Data!$O$3:$O$178,2022)</f>
      </c>
      <c r="AF3" s="127">
        <f>SUMIFS(Data!$S$3:$S$178,Data!$N$3:$N$178,AF$1,Data!$O$3:$O$178,2022)</f>
      </c>
      <c r="AG3" s="127">
        <f>SUMIFS(Data!$S$3:$S$178,Data!$N$3:$N$178,AG$1,Data!$O$3:$O$178,2022)</f>
      </c>
      <c r="AH3" s="127">
        <f>SUMIFS(Data!$S$3:$S$178,Data!$N$3:$N$178,AH$1,Data!$O$3:$O$178,2022)</f>
      </c>
      <c r="AI3" s="127">
        <f>SUMIFS(Data!$S$3:$S$178,Data!$N$3:$N$178,AI$1,Data!$O$3:$O$178,2022)</f>
      </c>
      <c r="AJ3" s="127">
        <f>SUMIFS(Data!$S$3:$S$178,Data!$N$3:$N$178,AJ$1,Data!$O$3:$O$178,2022)</f>
      </c>
      <c r="AK3" s="127">
        <f>SUMIFS(Data!$S$3:$S$178,Data!$N$3:$N$178,AK$1,Data!$O$3:$O$178,2022)</f>
      </c>
      <c r="AL3" s="127">
        <f>SUMIFS(Data!$S$3:$S$178,Data!$N$3:$N$178,AL$1,Data!$O$3:$O$178,2022)</f>
      </c>
      <c r="AM3" s="127">
        <f>SUMIFS(Data!$S$3:$S$178,Data!$N$3:$N$178,AM$1,Data!$O$3:$O$178,2022)</f>
      </c>
      <c r="AN3" s="127">
        <f>SUMIFS(Data!$S$3:$S$178,Data!$N$3:$N$178,AN$1,Data!$O$3:$O$178,2022)</f>
      </c>
      <c r="AO3" s="127">
        <f>SUMIFS(Data!$S$3:$S$178,Data!$N$3:$N$178,AO$1,Data!$O$3:$O$178,2022)</f>
      </c>
      <c r="AP3" s="127">
        <f>SUMIFS(Data!$S$3:$S$178,Data!$N$3:$N$178,AP$1,Data!$O$3:$O$178,2022)</f>
      </c>
      <c r="AQ3" s="127">
        <f>SUMIFS(Data!$S$3:$S$178,Data!$N$3:$N$178,AQ$1,Data!$O$3:$O$178,2022)</f>
      </c>
      <c r="AR3" s="127">
        <f>SUMIFS(Data!$S$3:$S$178,Data!$N$3:$N$178,AR$1,Data!$O$3:$O$178,2022)</f>
      </c>
      <c r="AS3" s="127">
        <f>SUMIFS(Data!$S$3:$S$178,Data!$N$3:$N$178,AS$1,Data!$O$3:$O$178,2022)</f>
      </c>
      <c r="AT3" s="127">
        <f>SUMIFS(Data!$S$3:$S$178,Data!$N$3:$N$178,AT$1,Data!$O$3:$O$178,2022)</f>
      </c>
      <c r="AU3" s="127">
        <f>SUMIFS(Data!$S$3:$S$178,Data!$N$3:$N$178,AU$1,Data!$O$3:$O$178,2022)</f>
      </c>
      <c r="AV3" s="127">
        <f>SUMIFS(Data!$S$3:$S$178,Data!$N$3:$N$178,AV$1,Data!$O$3:$O$178,2022)</f>
      </c>
      <c r="AW3" s="127">
        <f>SUMIFS(Data!$S$3:$S$178,Data!$N$3:$N$178,AW$1,Data!$O$3:$O$178,2022)</f>
      </c>
      <c r="AX3" s="127">
        <f>SUMIFS(Data!$S$3:$S$178,Data!$N$3:$N$178,AX$1,Data!$O$3:$O$178,2022)</f>
      </c>
      <c r="AY3" s="127">
        <f>SUMIFS(Data!$S$3:$S$178,Data!$N$3:$N$178,AY$1,Data!$O$3:$O$178,2022)</f>
      </c>
      <c r="AZ3" s="127">
        <f>SUMIFS(Data!$S$3:$S$178,Data!$N$3:$N$178,AZ$1,Data!$O$3:$O$178,2022)</f>
      </c>
      <c r="BA3" s="127">
        <f>SUMIFS(Data!$S$3:$S$178,Data!$N$3:$N$178,BA$1,Data!$O$3:$O$178,2022)</f>
      </c>
      <c r="BB3" s="127">
        <f>SUMIFS(Data!$S$3:$S$178,Data!$N$3:$N$178,BB$1,Data!$O$3:$O$178,2022)</f>
      </c>
      <c r="BC3" s="3"/>
      <c r="BD3" s="3"/>
      <c r="BE3" s="3"/>
    </row>
    <row x14ac:dyDescent="0.25" r="4" customHeight="1" ht="19.5">
      <c r="A4" s="168">
        <f>SUM(C4:BB4)</f>
      </c>
      <c r="B4" s="501" t="s">
        <v>142</v>
      </c>
      <c r="C4" s="168">
        <f>SUMIF(Data!$X$3:$X$201,C1,Data!$AD$3:$AD$201)</f>
      </c>
      <c r="D4" s="168">
        <f>SUMIF(Data!$X$3:$X$201,D1,Data!$AD$3:$AD$201)-SUMIFS(tbl_DCFC[F Montant HT],tbl_DCFC[CW REV],D1,tbl_DCFC[Client],"OPCO 2I")</f>
      </c>
      <c r="E4" s="168">
        <f>SUMIF(Data!$X$3:$X$201,E1,Data!$AD$3:$AD$201)-SUMIFS(tbl_DCFC[F Montant HT],tbl_DCFC[CW REV],E1,tbl_DCFC[Client],"OPCO 2I")</f>
      </c>
      <c r="F4" s="168">
        <f>SUMIF(Data!$X$3:$X$201,F1,Data!$AD$3:$AD$201)-SUMIFS(tbl_DCFC[F Montant HT],tbl_DCFC[CW REV],F1,tbl_DCFC[Client],"OPCO 2I")</f>
      </c>
      <c r="G4" s="168">
        <f>SUMIF(Data!$X$3:$X$201,G1,Data!$AD$3:$AD$201)-SUMIFS(tbl_DCFC[F Montant HT],tbl_DCFC[CW REV],G1,tbl_DCFC[Client],"OPCO 2I")</f>
      </c>
      <c r="H4" s="168">
        <f>SUMIF(Data!$X$3:$X$201,H1,Data!$AD$3:$AD$201)</f>
      </c>
      <c r="I4" s="168">
        <f>SUMIF(Data!$X$3:$X$201,I1,Data!$AD$3:$AD$201)</f>
      </c>
      <c r="J4" s="168">
        <f>SUMIF(Data!$X$3:$X$201,J1,Data!$AD$3:$AD$201)</f>
      </c>
      <c r="K4" s="168">
        <f>SUMIF(Data!$X$3:$X$201,K1,Data!$AD$3:$AD$201)</f>
      </c>
      <c r="L4" s="168">
        <f>SUMIF(Data!$X$3:$X$201,L1,Data!$AD$3:$AD$201)</f>
      </c>
      <c r="M4" s="168">
        <f>SUMIF(Data!$X$3:$X$201,M1,Data!$AD$3:$AD$201)</f>
      </c>
      <c r="N4" s="168">
        <f>SUMIF(Data!$X$3:$X$201,N1,Data!$AD$3:$AD$201)</f>
      </c>
      <c r="O4" s="168">
        <f>SUMIF(Data!$X$3:$X$201,O1,Data!$AD$3:$AD$201)-SUMIFS(tbl_DCFC[F Montant HT],tbl_DCFC[CW REV],O1,tbl_DCFC[Client],"OPCO 2I")</f>
      </c>
      <c r="P4" s="168">
        <f>SUMIF(Data!$X$3:$X$201,P1,Data!$AD$3:$AD$201)</f>
      </c>
      <c r="Q4" s="168">
        <f>SUMIF(Data!$X$3:$X$201,Q1,Data!$AD$3:$AD$201)</f>
      </c>
      <c r="R4" s="168">
        <f>SUMIF(Data!$X$3:$X$201,R1,Data!$AD$3:$AD$201)</f>
      </c>
      <c r="S4" s="168">
        <f>SUMIF(Data!$X$3:$X$201,S1,Data!$AD$3:$AD$201)</f>
      </c>
      <c r="T4" s="168">
        <f>SUMIF(Data!$X$3:$X$201,T1,Data!$AD$3:$AD$201)</f>
      </c>
      <c r="U4" s="168">
        <f>SUMIF(Data!$X$3:$X$201,U1,Data!$AD$3:$AD$201)</f>
      </c>
      <c r="V4" s="168">
        <f>SUMIF(Data!$X$3:$X$201,V1,Data!$AD$3:$AD$201)</f>
      </c>
      <c r="W4" s="168">
        <f>SUMIF(Data!$X$3:$X$201,W1,Data!$AD$3:$AD$201)</f>
      </c>
      <c r="X4" s="168">
        <f>SUMIF(Data!$X$3:$X$201,X1,Data!$AD$3:$AD$201)</f>
      </c>
      <c r="Y4" s="168">
        <f>SUMIF(Data!$X$3:$X$201,Y1,Data!$AD$3:$AD$201)</f>
      </c>
      <c r="Z4" s="168">
        <f>SUMIF(Data!$X$3:$X$201,Z1,Data!$AD$3:$AD$201)</f>
      </c>
      <c r="AA4" s="168">
        <f>SUMIF(Data!$X$3:$X$201,AA1,Data!$AD$3:$AD$201)</f>
      </c>
      <c r="AB4" s="168">
        <f>SUMIF(Data!$X$3:$X$201,AB1,Data!$AD$3:$AD$201)</f>
      </c>
      <c r="AC4" s="168">
        <f>SUMIF(Data!$X$3:$X$201,AC1,Data!$AD$3:$AD$201)</f>
      </c>
      <c r="AD4" s="168">
        <f>SUMIF(Data!$X$3:$X$201,AD1,Data!$AD$3:$AD$201)</f>
      </c>
      <c r="AE4" s="168">
        <f>SUMIF(Data!$X$3:$X$201,AE1,Data!$AD$3:$AD$201)</f>
      </c>
      <c r="AF4" s="168">
        <f>SUMIF(Data!$X$3:$X$201,AF1,Data!$AD$3:$AD$201)</f>
      </c>
      <c r="AG4" s="168">
        <f>SUMIF(Data!$X$3:$X$201,AG1,Data!$AD$3:$AD$201)</f>
      </c>
      <c r="AH4" s="168">
        <f>SUMIF(Data!$X$3:$X$201,AH1,Data!$AD$3:$AD$201)</f>
      </c>
      <c r="AI4" s="168">
        <f>SUMIF(Data!$X$3:$X$201,AI1,Data!$AD$3:$AD$201)</f>
      </c>
      <c r="AJ4" s="168">
        <f>SUMIF(Data!$X$3:$X$201,AJ1,Data!$AD$3:$AD$201)</f>
      </c>
      <c r="AK4" s="168">
        <f>SUMIF(Data!$X$3:$X$201,AK1,Data!$AD$3:$AD$201)</f>
      </c>
      <c r="AL4" s="168">
        <f>SUMIF(Data!$X$3:$X$201,AL1,Data!$AD$3:$AD$201)</f>
      </c>
      <c r="AM4" s="168">
        <f>SUMIF(Data!$X$3:$X$201,AM1,Data!$AD$3:$AD$201)</f>
      </c>
      <c r="AN4" s="168">
        <f>SUMIF(Data!$X$3:$X$201,AN1,Data!$AD$3:$AD$201)</f>
      </c>
      <c r="AO4" s="168">
        <f>SUMIF(Data!$X$3:$X$201,AO1,Data!$AD$3:$AD$201)</f>
      </c>
      <c r="AP4" s="168">
        <f>SUMIF(Data!$X$3:$X$201,AP1,Data!$AD$3:$AD$201)</f>
      </c>
      <c r="AQ4" s="168">
        <f>SUMIF(Data!$X$3:$X$201,AQ1,Data!$AD$3:$AD$201)</f>
      </c>
      <c r="AR4" s="168">
        <f>SUMIF(Data!$X$3:$X$201,AR1,Data!$AD$3:$AD$201)</f>
      </c>
      <c r="AS4" s="168">
        <f>SUMIF(Data!$X$3:$X$201,AS1,Data!$AD$3:$AD$201)</f>
      </c>
      <c r="AT4" s="168">
        <f>SUMIF(Data!$X$3:$X$201,AT1,Data!$AD$3:$AD$201)</f>
      </c>
      <c r="AU4" s="168">
        <f>SUMIF(Data!$X$3:$X$201,AU1,Data!$AD$3:$AD$201)</f>
      </c>
      <c r="AV4" s="168">
        <f>SUMIF(Data!$X$3:$X$201,AV1,Data!$AD$3:$AD$201)</f>
      </c>
      <c r="AW4" s="168">
        <f>SUMIF(Data!$X$3:$X$201,AW1,Data!$AD$3:$AD$201)</f>
      </c>
      <c r="AX4" s="168">
        <f>SUMIF(Data!$X$3:$X$201,AX1,Data!$AD$3:$AD$201)</f>
      </c>
      <c r="AY4" s="168">
        <f>SUMIF(Data!$X$3:$X$201,AY1,Data!$AD$3:$AD$201)</f>
      </c>
      <c r="AZ4" s="168">
        <f>SUMIF(Data!$X$3:$X$201,AZ1,Data!$AD$3:$AD$201)</f>
      </c>
      <c r="BA4" s="168">
        <f>SUMIF(Data!$X$3:$X$201,BA1,Data!$AD$3:$AD$201)</f>
      </c>
      <c r="BB4" s="168">
        <f>SUMIF(Data!$X$3:$X$201,BB1,Data!$AD$3:$AD$201)</f>
      </c>
      <c r="BC4" s="3"/>
      <c r="BD4" s="3"/>
      <c r="BE4" s="3"/>
    </row>
    <row x14ac:dyDescent="0.25" r="5" customHeight="1" ht="19.5" hidden="1">
      <c r="A5" s="502"/>
      <c r="B5" s="503" t="s">
        <v>586</v>
      </c>
      <c r="C5" s="425">
        <f>$B$17*C20</f>
      </c>
      <c r="D5" s="425">
        <f>$B$17*D20</f>
      </c>
      <c r="E5" s="425">
        <f>$B$17*E20</f>
      </c>
      <c r="F5" s="425">
        <f>$B$17*F20</f>
      </c>
      <c r="G5" s="425">
        <f>$B$17*G20</f>
      </c>
      <c r="H5" s="425">
        <f>$B$17*H20</f>
      </c>
      <c r="I5" s="425">
        <f>$B$17*I20</f>
      </c>
      <c r="J5" s="425">
        <f>$B$17*J20</f>
      </c>
      <c r="K5" s="425">
        <f>$B$17*K20</f>
      </c>
      <c r="L5" s="425">
        <f>$B$17*L20</f>
      </c>
      <c r="M5" s="425">
        <f>$B$17*M20</f>
      </c>
      <c r="N5" s="425">
        <f>$B$17*N20</f>
      </c>
      <c r="O5" s="425">
        <f>$B$17*O20</f>
      </c>
      <c r="P5" s="425">
        <f>$B$17*P20</f>
      </c>
      <c r="Q5" s="425">
        <f>$B$17*Q20</f>
      </c>
      <c r="R5" s="425">
        <f>$B$17*R20</f>
      </c>
      <c r="S5" s="425">
        <f>$B$17*S20</f>
      </c>
      <c r="T5" s="425">
        <f>$B$17*T20</f>
      </c>
      <c r="U5" s="425">
        <f>$B$17*U20</f>
      </c>
      <c r="V5" s="425">
        <f>$B$17*V20</f>
      </c>
      <c r="W5" s="425">
        <f>$B$17*W20</f>
      </c>
      <c r="X5" s="425">
        <f>$B$17*X20</f>
      </c>
      <c r="Y5" s="425">
        <f>$B$17*Y20</f>
      </c>
      <c r="Z5" s="425">
        <f>$B$17*Z20</f>
      </c>
      <c r="AA5" s="425">
        <f>$B$17*AA20</f>
      </c>
      <c r="AB5" s="425">
        <f>$B$17*AB20</f>
      </c>
      <c r="AC5" s="425">
        <f>$B$17*AC20</f>
      </c>
      <c r="AD5" s="425">
        <f>$B$17*AD20</f>
      </c>
      <c r="AE5" s="425">
        <f>$B$17*AE20</f>
      </c>
      <c r="AF5" s="425">
        <f>$B$17*AF20</f>
      </c>
      <c r="AG5" s="425">
        <f>$B$17*AG20</f>
      </c>
      <c r="AH5" s="425">
        <f>$B$17*AH20</f>
      </c>
      <c r="AI5" s="425">
        <f>$B$17*AI20</f>
      </c>
      <c r="AJ5" s="425">
        <f>$B$17*AJ20</f>
      </c>
      <c r="AK5" s="425">
        <f>$B$17*AK20</f>
      </c>
      <c r="AL5" s="425">
        <f>$B$17*AL20</f>
      </c>
      <c r="AM5" s="425">
        <f>$B$17*AM20</f>
      </c>
      <c r="AN5" s="425">
        <f>$B$17*AN20</f>
      </c>
      <c r="AO5" s="425">
        <f>$B$17*AO20</f>
      </c>
      <c r="AP5" s="425">
        <f>$B$17*AP20</f>
      </c>
      <c r="AQ5" s="425">
        <f>$B$17*AQ20</f>
      </c>
      <c r="AR5" s="425">
        <f>$B$17*AR20</f>
      </c>
      <c r="AS5" s="425">
        <f>$B$17*AS20</f>
      </c>
      <c r="AT5" s="425">
        <f>$B$17*AT20</f>
      </c>
      <c r="AU5" s="425">
        <f>$B$17*AU20</f>
      </c>
      <c r="AV5" s="425">
        <f>$B$17*AV20</f>
      </c>
      <c r="AW5" s="425">
        <f>$B$17*AW20</f>
      </c>
      <c r="AX5" s="425">
        <f>$B$17*AX20</f>
      </c>
      <c r="AY5" s="425">
        <f>$B$17*AY20</f>
      </c>
      <c r="AZ5" s="425">
        <f>$B$17*AZ20</f>
      </c>
      <c r="BA5" s="425">
        <f>$B$17*BA20</f>
      </c>
      <c r="BB5" s="425">
        <f>$B$17*BB20</f>
      </c>
      <c r="BC5" s="3"/>
      <c r="BD5" s="3"/>
      <c r="BE5" s="3"/>
    </row>
    <row x14ac:dyDescent="0.25" r="6" customHeight="1" ht="19.5" hidden="1">
      <c r="A6" s="504"/>
      <c r="B6" s="503" t="s">
        <v>587</v>
      </c>
      <c r="C6" s="425">
        <f>$B$18*C21</f>
      </c>
      <c r="D6" s="425">
        <f>$B$18*D21</f>
      </c>
      <c r="E6" s="425">
        <f>$B$18*E21</f>
      </c>
      <c r="F6" s="425">
        <f>$B$18*F21</f>
      </c>
      <c r="G6" s="425">
        <f>$B$18*G21</f>
      </c>
      <c r="H6" s="425">
        <f>$B$18*H21</f>
      </c>
      <c r="I6" s="425">
        <f>$B$18*I21</f>
      </c>
      <c r="J6" s="425">
        <f>$B$18*J21</f>
      </c>
      <c r="K6" s="425">
        <f>$B$18*K21</f>
      </c>
      <c r="L6" s="425">
        <f>$B$18*L21</f>
      </c>
      <c r="M6" s="425">
        <f>$B$18*M21</f>
      </c>
      <c r="N6" s="425">
        <f>$B$18*N21</f>
      </c>
      <c r="O6" s="425">
        <f>$B$18*O21</f>
      </c>
      <c r="P6" s="425">
        <f>$B$18*P21</f>
      </c>
      <c r="Q6" s="425">
        <f>$B$18*Q21</f>
      </c>
      <c r="R6" s="425">
        <f>$B$18*R21</f>
      </c>
      <c r="S6" s="425">
        <f>$B$18*S21</f>
      </c>
      <c r="T6" s="425">
        <f>$B$18*T21</f>
      </c>
      <c r="U6" s="425">
        <f>$B$18*U21</f>
      </c>
      <c r="V6" s="425">
        <f>$B$18*V21</f>
      </c>
      <c r="W6" s="425">
        <f>$B$18*W21</f>
      </c>
      <c r="X6" s="425">
        <f>$B$18*X21</f>
      </c>
      <c r="Y6" s="425">
        <f>$B$18*Y21</f>
      </c>
      <c r="Z6" s="425">
        <f>$B$18*Z21</f>
      </c>
      <c r="AA6" s="425">
        <f>$B$18*AA21</f>
      </c>
      <c r="AB6" s="425">
        <f>$B$18*AB21</f>
      </c>
      <c r="AC6" s="425">
        <f>$B$18*AC21</f>
      </c>
      <c r="AD6" s="425">
        <f>$B$18*AD21</f>
      </c>
      <c r="AE6" s="425">
        <f>$B$18*AE21</f>
      </c>
      <c r="AF6" s="425">
        <f>$B$18*AF21</f>
      </c>
      <c r="AG6" s="425">
        <f>$B$18*AG21</f>
      </c>
      <c r="AH6" s="425">
        <f>$B$18*AH21</f>
      </c>
      <c r="AI6" s="425">
        <f>$B$18*AI21</f>
      </c>
      <c r="AJ6" s="425">
        <f>$B$18*AJ21</f>
      </c>
      <c r="AK6" s="425">
        <f>$B$18*AK21</f>
      </c>
      <c r="AL6" s="425">
        <f>$B$18*AL21</f>
      </c>
      <c r="AM6" s="425">
        <f>$B$18*AM21</f>
      </c>
      <c r="AN6" s="425">
        <f>$B$18*AN21</f>
      </c>
      <c r="AO6" s="425">
        <f>$B$18*AO21</f>
      </c>
      <c r="AP6" s="425">
        <f>$B$18*AP21</f>
      </c>
      <c r="AQ6" s="425">
        <f>$B$18*AQ21</f>
      </c>
      <c r="AR6" s="425">
        <f>$B$18*AR21</f>
      </c>
      <c r="AS6" s="425">
        <f>$B$18*AS21</f>
      </c>
      <c r="AT6" s="425">
        <f>$B$18*AT21</f>
      </c>
      <c r="AU6" s="425">
        <f>$B$18*AU21</f>
      </c>
      <c r="AV6" s="425">
        <f>$B$18*AV21</f>
      </c>
      <c r="AW6" s="425">
        <f>$B$18*AW21</f>
      </c>
      <c r="AX6" s="425">
        <f>$B$18*AX21</f>
      </c>
      <c r="AY6" s="425">
        <f>$B$18*AY21</f>
      </c>
      <c r="AZ6" s="425">
        <f>$B$18*AZ21</f>
      </c>
      <c r="BA6" s="425">
        <f>$B$18*BA21</f>
      </c>
      <c r="BB6" s="425">
        <f>$B$18*BB21</f>
      </c>
      <c r="BC6" s="3"/>
      <c r="BD6" s="3"/>
      <c r="BE6" s="3"/>
    </row>
    <row x14ac:dyDescent="0.25" r="7" customHeight="1" ht="19.5" hidden="1">
      <c r="A7" s="504"/>
      <c r="B7" s="503" t="s">
        <v>443</v>
      </c>
      <c r="C7" s="425">
        <f>C5</f>
      </c>
      <c r="D7" s="425">
        <f>D5+C7</f>
      </c>
      <c r="E7" s="425">
        <f>E5+D7</f>
      </c>
      <c r="F7" s="425">
        <f>F5+E7</f>
      </c>
      <c r="G7" s="425">
        <f>G5+F7</f>
      </c>
      <c r="H7" s="425">
        <f>H5+G7</f>
      </c>
      <c r="I7" s="425">
        <f>I5+H7</f>
      </c>
      <c r="J7" s="425">
        <f>J5+I7</f>
      </c>
      <c r="K7" s="425">
        <f>K5+J7</f>
      </c>
      <c r="L7" s="425">
        <f>L5+K7</f>
      </c>
      <c r="M7" s="425">
        <f>M5+L7</f>
      </c>
      <c r="N7" s="425">
        <f>N5+M7</f>
      </c>
      <c r="O7" s="425">
        <f>O5+N7</f>
      </c>
      <c r="P7" s="425">
        <f>P5+O7</f>
      </c>
      <c r="Q7" s="425">
        <f>Q5+P7</f>
      </c>
      <c r="R7" s="425">
        <f>R5+Q7</f>
      </c>
      <c r="S7" s="425">
        <f>S5+R7</f>
      </c>
      <c r="T7" s="425">
        <f>T5+S7</f>
      </c>
      <c r="U7" s="425">
        <f>U5+T7</f>
      </c>
      <c r="V7" s="425">
        <f>V5+U7</f>
      </c>
      <c r="W7" s="425">
        <f>W5+V7</f>
      </c>
      <c r="X7" s="425">
        <f>X5+W7</f>
      </c>
      <c r="Y7" s="425">
        <f>Y5+X7</f>
      </c>
      <c r="Z7" s="425">
        <f>Z5+Y7</f>
      </c>
      <c r="AA7" s="425">
        <f>AA5+Z7</f>
      </c>
      <c r="AB7" s="425">
        <f>AB5+AA7</f>
      </c>
      <c r="AC7" s="425">
        <f>AC5+AB7</f>
      </c>
      <c r="AD7" s="425">
        <f>AD5+AC7</f>
      </c>
      <c r="AE7" s="425">
        <f>AE5+AD7</f>
      </c>
      <c r="AF7" s="425">
        <f>AF5+AE7</f>
      </c>
      <c r="AG7" s="425">
        <f>AG5+AF7</f>
      </c>
      <c r="AH7" s="425">
        <f>AH5+AG7</f>
      </c>
      <c r="AI7" s="425">
        <f>AI5+AH7</f>
      </c>
      <c r="AJ7" s="425">
        <f>AJ5+AI7</f>
      </c>
      <c r="AK7" s="425">
        <f>AK5+AJ7</f>
      </c>
      <c r="AL7" s="425">
        <f>AL5+AK7</f>
      </c>
      <c r="AM7" s="425">
        <f>AM5+AL7</f>
      </c>
      <c r="AN7" s="425">
        <f>AN5+AM7</f>
      </c>
      <c r="AO7" s="425">
        <f>AO5+AN7</f>
      </c>
      <c r="AP7" s="425">
        <f>AP5+AO7</f>
      </c>
      <c r="AQ7" s="425">
        <f>AQ5+AP7</f>
      </c>
      <c r="AR7" s="425">
        <f>AR5+AQ7</f>
      </c>
      <c r="AS7" s="425">
        <f>AS5+AR7</f>
      </c>
      <c r="AT7" s="425">
        <f>AT5+AS7</f>
      </c>
      <c r="AU7" s="425">
        <f>AU5+AT7</f>
      </c>
      <c r="AV7" s="425">
        <f>AV5+AU7</f>
      </c>
      <c r="AW7" s="425">
        <f>AW5+AV7</f>
      </c>
      <c r="AX7" s="425">
        <f>AX5+AW7</f>
      </c>
      <c r="AY7" s="425">
        <f>AY5+AX7</f>
      </c>
      <c r="AZ7" s="425">
        <f>AZ5+AY7</f>
      </c>
      <c r="BA7" s="425">
        <f>BA5+AZ7</f>
      </c>
      <c r="BB7" s="425">
        <f>BB5+BA7</f>
      </c>
      <c r="BC7" s="3"/>
      <c r="BD7" s="3"/>
      <c r="BE7" s="3"/>
    </row>
    <row x14ac:dyDescent="0.25" r="8" customHeight="1" ht="19.5" hidden="1">
      <c r="A8" s="505"/>
      <c r="B8" s="506" t="s">
        <v>449</v>
      </c>
      <c r="C8" s="507">
        <f>C6</f>
      </c>
      <c r="D8" s="507">
        <f>D6+C8</f>
      </c>
      <c r="E8" s="507">
        <f>E6+D8</f>
      </c>
      <c r="F8" s="507">
        <f>F6+E8</f>
      </c>
      <c r="G8" s="507">
        <f>G6+F8</f>
      </c>
      <c r="H8" s="507">
        <f>H6+G8</f>
      </c>
      <c r="I8" s="507">
        <f>I6+H8</f>
      </c>
      <c r="J8" s="507">
        <f>J6+I8</f>
      </c>
      <c r="K8" s="507">
        <f>K6+J8</f>
      </c>
      <c r="L8" s="507">
        <f>L6+K8</f>
      </c>
      <c r="M8" s="507">
        <f>M6+L8</f>
      </c>
      <c r="N8" s="507">
        <f>N6+M8</f>
      </c>
      <c r="O8" s="507">
        <f>O6+N8</f>
      </c>
      <c r="P8" s="507">
        <f>P6+O8</f>
      </c>
      <c r="Q8" s="507">
        <f>Q6+P8</f>
      </c>
      <c r="R8" s="507">
        <f>R6+Q8</f>
      </c>
      <c r="S8" s="507">
        <f>S6+R8</f>
      </c>
      <c r="T8" s="507">
        <f>T6+S8</f>
      </c>
      <c r="U8" s="507">
        <f>U6+T8</f>
      </c>
      <c r="V8" s="507">
        <f>V6+U8</f>
      </c>
      <c r="W8" s="507">
        <f>W6+V8</f>
      </c>
      <c r="X8" s="507">
        <f>X6+W8</f>
      </c>
      <c r="Y8" s="507">
        <f>Y6+X8</f>
      </c>
      <c r="Z8" s="507">
        <f>Z6+Y8</f>
      </c>
      <c r="AA8" s="507">
        <f>AA6+Z8</f>
      </c>
      <c r="AB8" s="507">
        <f>AB6+AA8</f>
      </c>
      <c r="AC8" s="507">
        <f>AC6+AB8</f>
      </c>
      <c r="AD8" s="507">
        <f>AD6+AC8</f>
      </c>
      <c r="AE8" s="507">
        <f>AE6+AD8</f>
      </c>
      <c r="AF8" s="507">
        <f>AF6+AE8</f>
      </c>
      <c r="AG8" s="507">
        <f>AG6+AF8</f>
      </c>
      <c r="AH8" s="507">
        <f>AH6+AG8</f>
      </c>
      <c r="AI8" s="507">
        <f>AI6+AH8</f>
      </c>
      <c r="AJ8" s="507">
        <f>AJ6+AI8</f>
      </c>
      <c r="AK8" s="507">
        <f>AK6+AJ8</f>
      </c>
      <c r="AL8" s="507">
        <f>AL6+AK8</f>
      </c>
      <c r="AM8" s="507">
        <f>AM6+AL8</f>
      </c>
      <c r="AN8" s="507">
        <f>AN6+AM8</f>
      </c>
      <c r="AO8" s="507">
        <f>AO6+AN8</f>
      </c>
      <c r="AP8" s="507">
        <f>AP6+AO8</f>
      </c>
      <c r="AQ8" s="507">
        <f>AQ6+AP8</f>
      </c>
      <c r="AR8" s="507">
        <f>AR6+AQ8</f>
      </c>
      <c r="AS8" s="507">
        <f>AS6+AR8</f>
      </c>
      <c r="AT8" s="507">
        <f>AT6+AS8</f>
      </c>
      <c r="AU8" s="507">
        <f>AU6+AT8</f>
      </c>
      <c r="AV8" s="507">
        <f>AV6+AU8</f>
      </c>
      <c r="AW8" s="507">
        <f>AW6+AV8</f>
      </c>
      <c r="AX8" s="507">
        <f>AX6+AW8</f>
      </c>
      <c r="AY8" s="507">
        <f>AY6+AX8</f>
      </c>
      <c r="AZ8" s="507">
        <f>AZ6+AY8</f>
      </c>
      <c r="BA8" s="507">
        <f>BA6+AZ8</f>
      </c>
      <c r="BB8" s="507">
        <f>BB6+BA8</f>
      </c>
      <c r="BC8" s="3"/>
      <c r="BD8" s="3"/>
      <c r="BE8" s="3"/>
    </row>
    <row x14ac:dyDescent="0.25" r="9" customHeight="1" ht="19.5" hidden="1">
      <c r="A9" s="3"/>
      <c r="B9" s="508" t="s">
        <v>588</v>
      </c>
      <c r="C9" s="509">
        <f>C3-C5</f>
      </c>
      <c r="D9" s="509">
        <f>D3-D5</f>
      </c>
      <c r="E9" s="509">
        <f>E3-E5</f>
      </c>
      <c r="F9" s="509">
        <f>F3-F5</f>
      </c>
      <c r="G9" s="509">
        <f>G3-G5</f>
      </c>
      <c r="H9" s="509">
        <f>H3-H5</f>
      </c>
      <c r="I9" s="509">
        <f>I3-I5</f>
      </c>
      <c r="J9" s="509">
        <f>J3-J5</f>
      </c>
      <c r="K9" s="509">
        <f>K3-K5</f>
      </c>
      <c r="L9" s="509">
        <f>L3-L5</f>
      </c>
      <c r="M9" s="509">
        <f>M3-M5</f>
      </c>
      <c r="N9" s="509">
        <f>N3-N5</f>
      </c>
      <c r="O9" s="509">
        <f>O3-O5</f>
      </c>
      <c r="P9" s="509">
        <f>P3-P5</f>
      </c>
      <c r="Q9" s="509">
        <f>Q3-Q5</f>
      </c>
      <c r="R9" s="509">
        <f>R3-R5</f>
      </c>
      <c r="S9" s="509">
        <f>S3-S5</f>
      </c>
      <c r="T9" s="509">
        <f>T3-T5</f>
      </c>
      <c r="U9" s="509">
        <f>U3-U5</f>
      </c>
      <c r="V9" s="509">
        <f>V3-V5</f>
      </c>
      <c r="W9" s="509">
        <f>W3-W5</f>
      </c>
      <c r="X9" s="509">
        <f>X3-X5</f>
      </c>
      <c r="Y9" s="509">
        <f>Y3-Y5</f>
      </c>
      <c r="Z9" s="509">
        <f>Z3-Z5</f>
      </c>
      <c r="AA9" s="509">
        <f>AA3-AA5</f>
      </c>
      <c r="AB9" s="509">
        <f>AB3-AB5</f>
      </c>
      <c r="AC9" s="509">
        <f>AC3-AC5</f>
      </c>
      <c r="AD9" s="509">
        <f>AD3-AD5</f>
      </c>
      <c r="AE9" s="509">
        <f>AE3-AE5</f>
      </c>
      <c r="AF9" s="509">
        <f>AF3-AF5</f>
      </c>
      <c r="AG9" s="509">
        <f>AG3-AG5</f>
      </c>
      <c r="AH9" s="509">
        <f>AH3-AH5</f>
      </c>
      <c r="AI9" s="509">
        <f>AI3-AI5</f>
      </c>
      <c r="AJ9" s="509">
        <f>AJ3-AJ5</f>
      </c>
      <c r="AK9" s="509">
        <f>AK3-AK5</f>
      </c>
      <c r="AL9" s="509">
        <f>AL3-AL5</f>
      </c>
      <c r="AM9" s="509">
        <f>AM3-AM5</f>
      </c>
      <c r="AN9" s="509">
        <f>AN3-AN5</f>
      </c>
      <c r="AO9" s="509">
        <f>AO3-AO5</f>
      </c>
      <c r="AP9" s="509">
        <f>AP3-AP5</f>
      </c>
      <c r="AQ9" s="509">
        <f>AQ3-AQ5</f>
      </c>
      <c r="AR9" s="509">
        <f>AR3-AR5</f>
      </c>
      <c r="AS9" s="509">
        <f>AS3-AS5</f>
      </c>
      <c r="AT9" s="509">
        <f>AT3-AT5</f>
      </c>
      <c r="AU9" s="509">
        <f>AU3-AU5</f>
      </c>
      <c r="AV9" s="509">
        <f>AV3-AV5</f>
      </c>
      <c r="AW9" s="509">
        <f>AW3-AW5</f>
      </c>
      <c r="AX9" s="509">
        <f>AX3-AX5</f>
      </c>
      <c r="AY9" s="509">
        <f>AY3-AY5</f>
      </c>
      <c r="AZ9" s="509">
        <f>AZ3-AZ5</f>
      </c>
      <c r="BA9" s="509">
        <f>BA3-BA5</f>
      </c>
      <c r="BB9" s="509">
        <f>BB3-BB5</f>
      </c>
      <c r="BC9" s="3"/>
      <c r="BD9" s="3"/>
      <c r="BE9" s="3"/>
    </row>
    <row x14ac:dyDescent="0.25" r="10" customHeight="1" ht="19.5" hidden="1">
      <c r="A10" s="3"/>
      <c r="B10" s="30" t="s">
        <v>589</v>
      </c>
      <c r="C10" s="127">
        <f>C2</f>
      </c>
      <c r="D10" s="127">
        <f>D2+C10</f>
      </c>
      <c r="E10" s="127">
        <f>E2+D10</f>
      </c>
      <c r="F10" s="127">
        <f>F2+E10</f>
      </c>
      <c r="G10" s="127">
        <f>G2+F10</f>
      </c>
      <c r="H10" s="127">
        <f>H2+G10</f>
      </c>
      <c r="I10" s="127">
        <f>I2+H10</f>
      </c>
      <c r="J10" s="127">
        <f>J2+I10</f>
      </c>
      <c r="K10" s="127">
        <f>K2+J10</f>
      </c>
      <c r="L10" s="127">
        <f>L2+K10</f>
      </c>
      <c r="M10" s="127">
        <f>M2+L10</f>
      </c>
      <c r="N10" s="127">
        <f>N2+M10</f>
      </c>
      <c r="O10" s="127">
        <f>O2+N10</f>
      </c>
      <c r="P10" s="127">
        <f>P2+O10</f>
      </c>
      <c r="Q10" s="127">
        <f>Q2+P10</f>
      </c>
      <c r="R10" s="127">
        <f>R2+Q10</f>
      </c>
      <c r="S10" s="127">
        <f>S2+R10</f>
      </c>
      <c r="T10" s="127">
        <f>T2+S10</f>
      </c>
      <c r="U10" s="127">
        <f>U2+T10</f>
      </c>
      <c r="V10" s="127">
        <f>V2+U10</f>
      </c>
      <c r="W10" s="127">
        <f>W2+V10</f>
      </c>
      <c r="X10" s="127">
        <f>X2+W10</f>
      </c>
      <c r="Y10" s="127">
        <f>Y2+X10</f>
      </c>
      <c r="Z10" s="127">
        <f>Z2+Y10</f>
      </c>
      <c r="AA10" s="127">
        <f>AA2+Z10</f>
      </c>
      <c r="AB10" s="127">
        <f>AB2+AA10</f>
      </c>
      <c r="AC10" s="127">
        <f>AC2+AB10</f>
      </c>
      <c r="AD10" s="127">
        <f>AD2+AC10</f>
      </c>
      <c r="AE10" s="127">
        <f>AE2+AD10</f>
      </c>
      <c r="AF10" s="127">
        <f>AF2+AE10</f>
      </c>
      <c r="AG10" s="127">
        <f>AG2+AF10</f>
      </c>
      <c r="AH10" s="127">
        <f>AH2+AG10</f>
      </c>
      <c r="AI10" s="127">
        <f>AI2+AH10</f>
      </c>
      <c r="AJ10" s="127">
        <f>AJ2+AI10</f>
      </c>
      <c r="AK10" s="127">
        <f>AK2+AJ10</f>
      </c>
      <c r="AL10" s="127">
        <f>AL2+AK10</f>
      </c>
      <c r="AM10" s="127">
        <f>AM2+AL10</f>
      </c>
      <c r="AN10" s="127">
        <f>AN2+AM10</f>
      </c>
      <c r="AO10" s="127">
        <f>AO2+AN10</f>
      </c>
      <c r="AP10" s="127">
        <f>AP2+AO10</f>
      </c>
      <c r="AQ10" s="127">
        <f>AQ2+AP10</f>
      </c>
      <c r="AR10" s="127">
        <f>AR2+AQ10</f>
      </c>
      <c r="AS10" s="127">
        <f>AS2+AR10</f>
      </c>
      <c r="AT10" s="127">
        <f>AT2+AS10</f>
      </c>
      <c r="AU10" s="127">
        <f>AU2+AT10</f>
      </c>
      <c r="AV10" s="127">
        <f>AV2+AU10</f>
      </c>
      <c r="AW10" s="127">
        <f>AW2+AV10</f>
      </c>
      <c r="AX10" s="127">
        <f>AX2+AW10</f>
      </c>
      <c r="AY10" s="127">
        <f>AY2+AX10</f>
      </c>
      <c r="AZ10" s="127">
        <f>AZ2+AY10</f>
      </c>
      <c r="BA10" s="127">
        <f>BA2+AZ10</f>
      </c>
      <c r="BB10" s="127">
        <f>BB2+BA10</f>
      </c>
      <c r="BC10" s="3"/>
      <c r="BD10" s="3"/>
      <c r="BE10" s="3"/>
    </row>
    <row x14ac:dyDescent="0.25" r="11" customHeight="1" ht="19.5" hidden="1">
      <c r="A11" s="3"/>
      <c r="B11" s="30" t="s">
        <v>440</v>
      </c>
      <c r="C11" s="127">
        <f>C3</f>
      </c>
      <c r="D11" s="127">
        <f>D3+C11</f>
      </c>
      <c r="E11" s="127">
        <f>E3+D11</f>
      </c>
      <c r="F11" s="127">
        <f>F3+E11</f>
      </c>
      <c r="G11" s="127">
        <f>G3+F11</f>
      </c>
      <c r="H11" s="127">
        <f>H3+G11</f>
      </c>
      <c r="I11" s="127">
        <f>I3+H11</f>
      </c>
      <c r="J11" s="127">
        <f>J3+I11</f>
      </c>
      <c r="K11" s="127">
        <f>K3+J11</f>
      </c>
      <c r="L11" s="127">
        <f>L3+K11</f>
      </c>
      <c r="M11" s="127">
        <f>M3+L11</f>
      </c>
      <c r="N11" s="127">
        <f>N3+M11</f>
      </c>
      <c r="O11" s="127">
        <f>O3+N11</f>
      </c>
      <c r="P11" s="127">
        <f>P3+O11</f>
      </c>
      <c r="Q11" s="127">
        <f>Q3+P11</f>
      </c>
      <c r="R11" s="127">
        <f>R3+Q11</f>
      </c>
      <c r="S11" s="127">
        <f>S3+R11</f>
      </c>
      <c r="T11" s="127">
        <f>T3+S11</f>
      </c>
      <c r="U11" s="127">
        <f>U3+T11</f>
      </c>
      <c r="V11" s="127">
        <f>V3+U11</f>
      </c>
      <c r="W11" s="127">
        <f>W3+V11</f>
      </c>
      <c r="X11" s="127">
        <f>X3+W11</f>
      </c>
      <c r="Y11" s="127">
        <f>Y3+X11</f>
      </c>
      <c r="Z11" s="127">
        <f>Z3+Y11</f>
      </c>
      <c r="AA11" s="127">
        <f>AA3+Z11</f>
      </c>
      <c r="AB11" s="127">
        <f>AB3+AA11</f>
      </c>
      <c r="AC11" s="127">
        <f>AC3+AB11</f>
      </c>
      <c r="AD11" s="127">
        <f>AD3+AC11</f>
      </c>
      <c r="AE11" s="127">
        <f>AE3+AD11</f>
      </c>
      <c r="AF11" s="127">
        <f>AF3+AE11</f>
      </c>
      <c r="AG11" s="127">
        <f>AG3+AF11</f>
      </c>
      <c r="AH11" s="127">
        <f>AH3+AG11</f>
      </c>
      <c r="AI11" s="127">
        <f>AI3+AH11</f>
      </c>
      <c r="AJ11" s="127">
        <f>AJ3+AI11</f>
      </c>
      <c r="AK11" s="127">
        <f>AK3+AJ11</f>
      </c>
      <c r="AL11" s="127">
        <f>AL3+AK11</f>
      </c>
      <c r="AM11" s="127">
        <f>AM3+AL11</f>
      </c>
      <c r="AN11" s="127">
        <f>AN3+AM11</f>
      </c>
      <c r="AO11" s="127">
        <f>AO3+AN11</f>
      </c>
      <c r="AP11" s="127">
        <f>AP3+AO11</f>
      </c>
      <c r="AQ11" s="127">
        <f>AQ3+AP11</f>
      </c>
      <c r="AR11" s="127">
        <f>AR3+AQ11</f>
      </c>
      <c r="AS11" s="127">
        <f>AS3+AR11</f>
      </c>
      <c r="AT11" s="127">
        <f>AT3+AS11</f>
      </c>
      <c r="AU11" s="127">
        <f>AU3+AT11</f>
      </c>
      <c r="AV11" s="127">
        <f>AV3+AU11</f>
      </c>
      <c r="AW11" s="127">
        <f>AW3+AV11</f>
      </c>
      <c r="AX11" s="127">
        <f>AX3+AW11</f>
      </c>
      <c r="AY11" s="127">
        <f>AY3+AX11</f>
      </c>
      <c r="AZ11" s="127">
        <f>AZ3+AY11</f>
      </c>
      <c r="BA11" s="127">
        <f>BA3+AZ11</f>
      </c>
      <c r="BB11" s="127">
        <f>BB3+BA11</f>
      </c>
      <c r="BC11" s="3"/>
      <c r="BD11" s="3"/>
      <c r="BE11" s="3"/>
    </row>
    <row x14ac:dyDescent="0.25" r="12" customHeight="1" ht="19.5" hidden="1">
      <c r="A12" s="3"/>
      <c r="B12" s="30" t="s">
        <v>447</v>
      </c>
      <c r="C12" s="127">
        <f>C4</f>
      </c>
      <c r="D12" s="127">
        <f>D4+C12</f>
      </c>
      <c r="E12" s="127">
        <f>E4+D12</f>
      </c>
      <c r="F12" s="127">
        <f>F4+E12</f>
      </c>
      <c r="G12" s="127">
        <f>G4+F12</f>
      </c>
      <c r="H12" s="127">
        <f>H4+G12</f>
      </c>
      <c r="I12" s="127">
        <f>I4+H12</f>
      </c>
      <c r="J12" s="127">
        <f>J4+I12</f>
      </c>
      <c r="K12" s="127">
        <f>K4+J12</f>
      </c>
      <c r="L12" s="127">
        <f>L4+K12</f>
      </c>
      <c r="M12" s="127">
        <f>M4+L12</f>
      </c>
      <c r="N12" s="127">
        <f>N4+M12</f>
      </c>
      <c r="O12" s="127">
        <f>O4+N12</f>
      </c>
      <c r="P12" s="127">
        <f>P4+O12</f>
      </c>
      <c r="Q12" s="127">
        <f>Q4+P12</f>
      </c>
      <c r="R12" s="127">
        <f>R4+Q12</f>
      </c>
      <c r="S12" s="127">
        <f>S4+R12</f>
      </c>
      <c r="T12" s="127">
        <f>T4+S12</f>
      </c>
      <c r="U12" s="127">
        <f>U4+T12</f>
      </c>
      <c r="V12" s="127">
        <f>V4+U12</f>
      </c>
      <c r="W12" s="127">
        <f>W4+V12</f>
      </c>
      <c r="X12" s="127">
        <f>X4+W12</f>
      </c>
      <c r="Y12" s="127">
        <f>Y4+X12</f>
      </c>
      <c r="Z12" s="127">
        <f>Z4+Y12</f>
      </c>
      <c r="AA12" s="127">
        <f>AA4+Z12</f>
      </c>
      <c r="AB12" s="127">
        <f>AB4+AA12</f>
      </c>
      <c r="AC12" s="127">
        <f>AC4+AB12</f>
      </c>
      <c r="AD12" s="127">
        <f>AD4+AC12</f>
      </c>
      <c r="AE12" s="127">
        <f>AE4+AD12</f>
      </c>
      <c r="AF12" s="127">
        <f>AF4+AE12</f>
      </c>
      <c r="AG12" s="127">
        <f>AG4+AF12</f>
      </c>
      <c r="AH12" s="127">
        <f>AH4+AG12</f>
      </c>
      <c r="AI12" s="127">
        <f>AI4+AH12</f>
      </c>
      <c r="AJ12" s="127">
        <f>AJ4+AI12</f>
      </c>
      <c r="AK12" s="127">
        <f>AK4+AJ12</f>
      </c>
      <c r="AL12" s="127">
        <f>AL4+AK12</f>
      </c>
      <c r="AM12" s="127">
        <f>AM4+AL12</f>
      </c>
      <c r="AN12" s="127">
        <f>AN4+AM12</f>
      </c>
      <c r="AO12" s="127">
        <f>AO4+AN12</f>
      </c>
      <c r="AP12" s="127">
        <f>AP4+AO12</f>
      </c>
      <c r="AQ12" s="127">
        <f>AQ4+AP12</f>
      </c>
      <c r="AR12" s="127">
        <f>AR4+AQ12</f>
      </c>
      <c r="AS12" s="127">
        <f>AS4+AR12</f>
      </c>
      <c r="AT12" s="127">
        <f>AT4+AS12</f>
      </c>
      <c r="AU12" s="127">
        <f>AU4+AT12</f>
      </c>
      <c r="AV12" s="127">
        <f>AV4+AU12</f>
      </c>
      <c r="AW12" s="127">
        <f>AW4+AV12</f>
      </c>
      <c r="AX12" s="127">
        <f>AX4+AW12</f>
      </c>
      <c r="AY12" s="127">
        <f>AY4+AX12</f>
      </c>
      <c r="AZ12" s="127">
        <f>AZ4+AY12</f>
      </c>
      <c r="BA12" s="127">
        <f>BA4+AZ12</f>
      </c>
      <c r="BB12" s="127">
        <f>BB4+BA12</f>
      </c>
      <c r="BC12" s="3"/>
      <c r="BD12" s="3"/>
      <c r="BE12" s="3"/>
    </row>
    <row x14ac:dyDescent="0.25" r="13" customHeight="1" ht="19.5">
      <c r="A13" s="3"/>
      <c r="B13" s="30" t="s">
        <v>149</v>
      </c>
      <c r="C13" s="9">
        <f>39254+C3-C4</f>
      </c>
      <c r="D13" s="127">
        <f>C13+D3-D4</f>
      </c>
      <c r="E13" s="127">
        <f>D13+E3-E4</f>
      </c>
      <c r="F13" s="127">
        <f>E13+F3-F4</f>
      </c>
      <c r="G13" s="127">
        <f>F13+G3-G4</f>
      </c>
      <c r="H13" s="127">
        <f>G13+H3-H4</f>
      </c>
      <c r="I13" s="127">
        <f>H13+I3-I4</f>
      </c>
      <c r="J13" s="127">
        <f>I13+J3-J4</f>
      </c>
      <c r="K13" s="127">
        <f>J13+K3-K4</f>
      </c>
      <c r="L13" s="127">
        <f>K13+L3-L4</f>
      </c>
      <c r="M13" s="127">
        <f>L13+M3-M4</f>
      </c>
      <c r="N13" s="127">
        <f>M13+N3-N4</f>
      </c>
      <c r="O13" s="127">
        <f>N13+O3-O4</f>
      </c>
      <c r="P13" s="127">
        <f>O13+P3-P4</f>
      </c>
      <c r="Q13" s="127">
        <f>P13+Q3-Q4</f>
      </c>
      <c r="R13" s="127">
        <f>Q13+R3-R4</f>
      </c>
      <c r="S13" s="127">
        <f>R13+S3-S4</f>
      </c>
      <c r="T13" s="127">
        <f>S13+T3-T4</f>
      </c>
      <c r="U13" s="127">
        <f>T13+U3-U4</f>
      </c>
      <c r="V13" s="127">
        <f>U13+V3-V4</f>
      </c>
      <c r="W13" s="127">
        <f>V13+W3-W4</f>
      </c>
      <c r="X13" s="127">
        <f>W13+X3-X4</f>
      </c>
      <c r="Y13" s="127">
        <f>X13+Y3-Y4</f>
      </c>
      <c r="Z13" s="127">
        <f>Y13+Z3-Z4</f>
      </c>
      <c r="AA13" s="127">
        <f>Z13+AA3-AA4</f>
      </c>
      <c r="AB13" s="127">
        <f>AA13+AB3-AB4</f>
      </c>
      <c r="AC13" s="127">
        <f>AB13+AC3-AC4</f>
      </c>
      <c r="AD13" s="127">
        <f>AC13+AD3-AD4</f>
      </c>
      <c r="AE13" s="127">
        <f>AD13+AE3-AE4</f>
      </c>
      <c r="AF13" s="127">
        <f>AE13+AF3-AF4</f>
      </c>
      <c r="AG13" s="127">
        <f>AF13+AG3-AG4</f>
      </c>
      <c r="AH13" s="127">
        <f>AG13+AH3-AH4</f>
      </c>
      <c r="AI13" s="127">
        <f>AH13+AI3-AI4</f>
      </c>
      <c r="AJ13" s="127">
        <f>AI13+AJ3-AJ4</f>
      </c>
      <c r="AK13" s="127">
        <f>AJ13+AK3-AK4</f>
      </c>
      <c r="AL13" s="127">
        <f>AK13+AL3-AL4</f>
      </c>
      <c r="AM13" s="127">
        <f>AL13+AM3-AM4</f>
      </c>
      <c r="AN13" s="127">
        <f>AM13+AN3-AN4</f>
      </c>
      <c r="AO13" s="127">
        <f>AN13+AO3-AO4</f>
      </c>
      <c r="AP13" s="127">
        <f>AO13+AP3-AP4</f>
      </c>
      <c r="AQ13" s="127">
        <f>AP13+AQ3-AQ4</f>
      </c>
      <c r="AR13" s="127">
        <f>AQ13+AR3-AR4</f>
      </c>
      <c r="AS13" s="127">
        <f>AR13+AS3-AS4</f>
      </c>
      <c r="AT13" s="127">
        <f>AS13+AT3-AT4</f>
      </c>
      <c r="AU13" s="127">
        <f>AT13+AU3-AU4</f>
      </c>
      <c r="AV13" s="127">
        <f>AU13+AV3-AV4</f>
      </c>
      <c r="AW13" s="127">
        <f>AV13+AW3-AW4</f>
      </c>
      <c r="AX13" s="127">
        <f>AW13+AX3-AX4</f>
      </c>
      <c r="AY13" s="127">
        <f>AX13+AY3-AY4</f>
      </c>
      <c r="AZ13" s="127">
        <f>AY13+AZ3-AZ4</f>
      </c>
      <c r="BA13" s="127">
        <f>AZ13+BA3-BA4</f>
      </c>
      <c r="BB13" s="127">
        <f>BA13+BB3-BB4</f>
      </c>
      <c r="BC13" s="3"/>
      <c r="BD13" s="3"/>
      <c r="BE13" s="3"/>
    </row>
    <row x14ac:dyDescent="0.25" r="14" customHeight="1" ht="19.5" hidden="1">
      <c r="A14" s="3"/>
      <c r="B14" s="3"/>
      <c r="C14" s="332"/>
      <c r="D14" s="8"/>
      <c r="E14" s="8"/>
      <c r="F14" s="8"/>
      <c r="G14" s="332"/>
      <c r="H14" s="332"/>
      <c r="I14" s="8"/>
      <c r="J14" s="8"/>
      <c r="K14" s="8"/>
      <c r="L14" s="332"/>
      <c r="M14" s="332"/>
      <c r="N14" s="332"/>
      <c r="O14" s="332"/>
      <c r="P14" s="332"/>
      <c r="Q14" s="332"/>
      <c r="R14" s="332"/>
      <c r="S14" s="332"/>
      <c r="T14" s="332"/>
      <c r="U14" s="332"/>
      <c r="V14" s="332"/>
      <c r="W14" s="332"/>
      <c r="X14" s="332"/>
      <c r="Y14" s="332"/>
      <c r="Z14" s="332"/>
      <c r="AA14" s="332"/>
      <c r="AB14" s="332"/>
      <c r="AC14" s="127"/>
      <c r="AD14" s="332"/>
      <c r="AE14" s="332"/>
      <c r="AF14" s="332"/>
      <c r="AG14" s="332"/>
      <c r="AH14" s="332"/>
      <c r="AI14" s="332"/>
      <c r="AJ14" s="332"/>
      <c r="AK14" s="332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2"/>
      <c r="AX14" s="332"/>
      <c r="AY14" s="332"/>
      <c r="AZ14" s="332"/>
      <c r="BA14" s="332"/>
      <c r="BB14" s="332"/>
      <c r="BC14" s="3"/>
      <c r="BD14" s="3"/>
      <c r="BE14" s="3"/>
    </row>
    <row x14ac:dyDescent="0.25" r="15" customHeight="1" ht="19.5" hidden="1">
      <c r="A15" s="3"/>
      <c r="B15" s="3"/>
      <c r="C15" s="332"/>
      <c r="D15" s="8"/>
      <c r="E15" s="8"/>
      <c r="F15" s="8"/>
      <c r="G15" s="332"/>
      <c r="H15" s="332"/>
      <c r="I15" s="8"/>
      <c r="J15" s="8"/>
      <c r="K15" s="8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2"/>
      <c r="AJ15" s="332"/>
      <c r="AK15" s="332"/>
      <c r="AL15" s="332"/>
      <c r="AM15" s="332"/>
      <c r="AN15" s="332"/>
      <c r="AO15" s="332"/>
      <c r="AP15" s="332"/>
      <c r="AQ15" s="332"/>
      <c r="AR15" s="332"/>
      <c r="AS15" s="332"/>
      <c r="AT15" s="332"/>
      <c r="AU15" s="332"/>
      <c r="AV15" s="332"/>
      <c r="AW15" s="332"/>
      <c r="AX15" s="332"/>
      <c r="AY15" s="332"/>
      <c r="AZ15" s="332"/>
      <c r="BA15" s="332"/>
      <c r="BB15" s="332"/>
      <c r="BC15" s="3"/>
      <c r="BD15" s="3"/>
      <c r="BE15" s="3"/>
    </row>
    <row x14ac:dyDescent="0.25" r="16" customHeight="1" ht="19.5" hidden="1">
      <c r="A16" s="30" t="s">
        <v>76</v>
      </c>
      <c r="B16" s="3"/>
      <c r="C16" s="510">
        <v>1</v>
      </c>
      <c r="D16" s="510">
        <v>2</v>
      </c>
      <c r="E16" s="510">
        <v>3</v>
      </c>
      <c r="F16" s="510">
        <v>4</v>
      </c>
      <c r="G16" s="510">
        <v>5</v>
      </c>
      <c r="H16" s="510">
        <v>6</v>
      </c>
      <c r="I16" s="510">
        <v>7</v>
      </c>
      <c r="J16" s="510">
        <v>8</v>
      </c>
      <c r="K16" s="510">
        <v>9</v>
      </c>
      <c r="L16" s="510">
        <v>10</v>
      </c>
      <c r="M16" s="510">
        <v>11</v>
      </c>
      <c r="N16" s="510">
        <v>12</v>
      </c>
      <c r="O16" s="510">
        <v>13</v>
      </c>
      <c r="P16" s="510">
        <v>14</v>
      </c>
      <c r="Q16" s="510">
        <v>15</v>
      </c>
      <c r="R16" s="510">
        <v>16</v>
      </c>
      <c r="S16" s="510">
        <v>17</v>
      </c>
      <c r="T16" s="166">
        <v>18</v>
      </c>
      <c r="U16" s="166">
        <v>19</v>
      </c>
      <c r="V16" s="511">
        <v>20</v>
      </c>
      <c r="W16" s="511">
        <v>21</v>
      </c>
      <c r="X16" s="511">
        <v>22</v>
      </c>
      <c r="Y16" s="511">
        <v>23</v>
      </c>
      <c r="Z16" s="511">
        <v>24</v>
      </c>
      <c r="AA16" s="511">
        <v>25</v>
      </c>
      <c r="AB16" s="511">
        <v>26</v>
      </c>
      <c r="AC16" s="511">
        <v>27</v>
      </c>
      <c r="AD16" s="511">
        <v>28</v>
      </c>
      <c r="AE16" s="511">
        <v>29</v>
      </c>
      <c r="AF16" s="511">
        <v>30</v>
      </c>
      <c r="AG16" s="511">
        <v>31</v>
      </c>
      <c r="AH16" s="166">
        <v>32</v>
      </c>
      <c r="AI16" s="166">
        <v>33</v>
      </c>
      <c r="AJ16" s="512">
        <v>34</v>
      </c>
      <c r="AK16" s="512">
        <v>35</v>
      </c>
      <c r="AL16" s="512">
        <v>36</v>
      </c>
      <c r="AM16" s="512">
        <v>37</v>
      </c>
      <c r="AN16" s="512">
        <v>38</v>
      </c>
      <c r="AO16" s="512">
        <v>39</v>
      </c>
      <c r="AP16" s="512">
        <v>40</v>
      </c>
      <c r="AQ16" s="512">
        <v>41</v>
      </c>
      <c r="AR16" s="512">
        <v>42</v>
      </c>
      <c r="AS16" s="512">
        <v>43</v>
      </c>
      <c r="AT16" s="512">
        <v>44</v>
      </c>
      <c r="AU16" s="512">
        <v>45</v>
      </c>
      <c r="AV16" s="512">
        <v>46</v>
      </c>
      <c r="AW16" s="512">
        <v>47</v>
      </c>
      <c r="AX16" s="512">
        <v>48</v>
      </c>
      <c r="AY16" s="512">
        <v>49</v>
      </c>
      <c r="AZ16" s="512">
        <v>50</v>
      </c>
      <c r="BA16" s="512">
        <v>51</v>
      </c>
      <c r="BB16" s="166">
        <v>52</v>
      </c>
      <c r="BC16" s="3"/>
      <c r="BD16" s="3"/>
      <c r="BE16" s="3"/>
    </row>
    <row x14ac:dyDescent="0.25" r="17" customHeight="1" ht="19.5" hidden="1">
      <c r="A17" s="30" t="s">
        <v>590</v>
      </c>
      <c r="B17" s="437"/>
      <c r="C17" s="513">
        <v>0.001680824306609493</v>
      </c>
      <c r="D17" s="513">
        <f>0.343981605254073%+1%</f>
      </c>
      <c r="E17" s="513">
        <f>1.34983770160087%+1%</f>
      </c>
      <c r="F17" s="513">
        <f>1.44380914329294%+1%</f>
      </c>
      <c r="G17" s="513">
        <v>0.02420229051238443</v>
      </c>
      <c r="H17" s="513">
        <f>8.63377764926369%-4%</f>
      </c>
      <c r="I17" s="513">
        <f>8.37172377691067%-3%</f>
      </c>
      <c r="J17" s="513">
        <f>7.21940469437205%-2%</f>
      </c>
      <c r="K17" s="513">
        <f>0.391824385853865%+3%</f>
      </c>
      <c r="L17" s="513">
        <f>0.499517758053737%+1.5%</f>
      </c>
      <c r="M17" s="513">
        <f>0.499517758053737%+1.5%</f>
      </c>
      <c r="N17" s="513">
        <v>0.01005138140532133</v>
      </c>
      <c r="O17" s="513">
        <v>0.01938480699597685</v>
      </c>
      <c r="P17" s="513">
        <v>0.02835925467929946</v>
      </c>
      <c r="Q17" s="513">
        <v>0.02086289852942008</v>
      </c>
      <c r="R17" s="513">
        <v>0.01583720782675942</v>
      </c>
      <c r="S17" s="513">
        <v>0.006862760143436803</v>
      </c>
      <c r="T17" s="513">
        <v>0.01629759699291387</v>
      </c>
      <c r="U17" s="513">
        <v>0.01265756101255821</v>
      </c>
      <c r="V17" s="513">
        <v>0.01265756101255821</v>
      </c>
      <c r="W17" s="513">
        <v>0.007282764295016301</v>
      </c>
      <c r="X17" s="513">
        <v>0.005538131665378385</v>
      </c>
      <c r="Y17" s="513">
        <v>0.005538131665378385</v>
      </c>
      <c r="Z17" s="513">
        <v>0.01906693205903356</v>
      </c>
      <c r="AA17" s="513">
        <v>0.02014386578103227</v>
      </c>
      <c r="AB17" s="513">
        <v>0.02157977741036389</v>
      </c>
      <c r="AC17" s="513">
        <f>0.409037376510478%+1%</f>
      </c>
      <c r="AD17" s="513">
        <f>0.376056281274267%+1%</f>
      </c>
      <c r="AE17" s="513">
        <f>0.264773130001067%+1%</f>
      </c>
      <c r="AF17" s="513">
        <v>0.00600614911206366</v>
      </c>
      <c r="AG17" s="513">
        <v>0.005259026342427052</v>
      </c>
      <c r="AH17" s="513">
        <v>0.006012879947826152</v>
      </c>
      <c r="AI17" s="513">
        <v>0</v>
      </c>
      <c r="AJ17" s="513">
        <v>0.01715905422603601</v>
      </c>
      <c r="AK17" s="513">
        <v>0.02431168902964413</v>
      </c>
      <c r="AL17" s="513">
        <v>0.0185322344660612</v>
      </c>
      <c r="AM17" s="513">
        <v>0.01783608655926586</v>
      </c>
      <c r="AN17" s="513">
        <v>0.04069292787496657</v>
      </c>
      <c r="AO17" s="513">
        <v>0.03954419857150127</v>
      </c>
      <c r="AP17" s="513">
        <v>0.03288129937797206</v>
      </c>
      <c r="AQ17" s="513">
        <v>0.002153867443997427</v>
      </c>
      <c r="AR17" s="513">
        <v>0.003105158898429624</v>
      </c>
      <c r="AS17" s="513">
        <v>0.01218729995395211</v>
      </c>
      <c r="AT17" s="513">
        <v>0.01182832204661921</v>
      </c>
      <c r="AU17" s="513">
        <v>0.01634067434179381</v>
      </c>
      <c r="AV17" s="513">
        <f>5.51254551503323%-1%</f>
      </c>
      <c r="AW17" s="513">
        <f>5.79613806182623%-1%</f>
      </c>
      <c r="AX17" s="513">
        <f>5.35369779103842%-1%</f>
      </c>
      <c r="AY17" s="513">
        <f>1.07316445397172%+0.98%</f>
      </c>
      <c r="AZ17" s="513">
        <v>0.007895719071787235</v>
      </c>
      <c r="BA17" s="513">
        <v>0.005061588493393955</v>
      </c>
      <c r="BB17" s="513">
        <v>0</v>
      </c>
      <c r="BC17" s="3"/>
      <c r="BD17" s="3"/>
      <c r="BE17" s="3"/>
    </row>
    <row x14ac:dyDescent="0.25" r="18" customHeight="1" ht="19.5" hidden="1">
      <c r="A18" s="30" t="s">
        <v>591</v>
      </c>
      <c r="B18" s="437"/>
      <c r="C18" s="513">
        <f>1.73384972530494%-1.7%</f>
      </c>
      <c r="D18" s="513">
        <f>4.26443089783891%-3.5%</f>
      </c>
      <c r="E18" s="513">
        <f>4.47862936139912%-3.3%</f>
      </c>
      <c r="F18" s="513">
        <f>4.63152798763438%-3%</f>
      </c>
      <c r="G18" s="513">
        <v>0.02595918940354412</v>
      </c>
      <c r="H18" s="513">
        <v>0.02632101113253096</v>
      </c>
      <c r="I18" s="513">
        <f>1.00760115088256%+2%</f>
      </c>
      <c r="J18" s="513">
        <f>0.512629025628557%+3%</f>
      </c>
      <c r="K18" s="513">
        <f>0.0726538031805577%+3.19%</f>
      </c>
      <c r="L18" s="513">
        <v>0.023867208530888</v>
      </c>
      <c r="M18" s="513">
        <v>0.03269565871816692</v>
      </c>
      <c r="N18" s="513">
        <v>0.03631387600803533</v>
      </c>
      <c r="O18" s="513">
        <f>1.24466674771473%</f>
      </c>
      <c r="P18" s="513">
        <f>0.723643457973683%+1%</f>
      </c>
      <c r="Q18" s="513">
        <v>0.01691516583013483</v>
      </c>
      <c r="R18" s="513">
        <v>0.01691516583013483</v>
      </c>
      <c r="S18" s="513">
        <v>0.01329694854026642</v>
      </c>
      <c r="T18" s="513">
        <f>2.87431181507147%-1%</f>
      </c>
      <c r="U18" s="513">
        <f>3.71373822632094%-2%</f>
      </c>
      <c r="V18" s="513">
        <f>4.6909463519686%-2.5%</f>
      </c>
      <c r="W18" s="513">
        <f>1.81663453689713%+0.5%</f>
      </c>
      <c r="X18" s="513">
        <f>1.83544926680445%</f>
      </c>
      <c r="Y18" s="513">
        <f>1.12678522841082%+0.5%</f>
      </c>
      <c r="Z18" s="513">
        <v>0.0151176354805282</v>
      </c>
      <c r="AA18" s="513">
        <v>0.009882653976854987</v>
      </c>
      <c r="AB18" s="513">
        <v>0.007197213104314652</v>
      </c>
      <c r="AC18" s="513">
        <v>0.00822478681463728</v>
      </c>
      <c r="AD18" s="513">
        <v>0.006149377377168759</v>
      </c>
      <c r="AE18" s="513">
        <v>0.01945175324336998</v>
      </c>
      <c r="AF18" s="513">
        <v>0.01457439633662736</v>
      </c>
      <c r="AG18" s="513">
        <v>0.01330237586620122</v>
      </c>
      <c r="AH18" s="513">
        <v>0.004240550663725779</v>
      </c>
      <c r="AI18" s="513">
        <v>0</v>
      </c>
      <c r="AJ18" s="513">
        <v>0.01335549129601649</v>
      </c>
      <c r="AK18" s="513">
        <v>0.01770314119152237</v>
      </c>
      <c r="AL18" s="513">
        <v>0.01784360038671506</v>
      </c>
      <c r="AM18" s="513">
        <v>0.01811858490074506</v>
      </c>
      <c r="AN18" s="513">
        <f>0.95303843415134%+2%</f>
      </c>
      <c r="AO18" s="513">
        <f>0.438527935532052%+2%</f>
      </c>
      <c r="AP18" s="513">
        <f>0.201172881316684%+2%</f>
      </c>
      <c r="AQ18" s="513">
        <f>0.509444994413472%+2%</f>
      </c>
      <c r="AR18" s="513">
        <f>0.337217851415736%+1%</f>
      </c>
      <c r="AS18" s="513">
        <v>0.006903558589068931</v>
      </c>
      <c r="AT18" s="513">
        <v>0.02788835049815616</v>
      </c>
      <c r="AU18" s="513">
        <v>0.03265303611849227</v>
      </c>
      <c r="AV18" s="513">
        <v>0.04153069406091341</v>
      </c>
      <c r="AW18" s="513">
        <v>0.0174631810208583</v>
      </c>
      <c r="AX18" s="513">
        <v>0.01469575134452954</v>
      </c>
      <c r="AY18" s="513">
        <v>0.0396281630455548</v>
      </c>
      <c r="AZ18" s="513">
        <v>0.0396281630455548</v>
      </c>
      <c r="BA18" s="513">
        <f>3.7341449718358%-0.87%</f>
      </c>
      <c r="BB18" s="513">
        <v>0</v>
      </c>
      <c r="BC18" s="3"/>
      <c r="BD18" s="3"/>
      <c r="BE18" s="3"/>
    </row>
    <row x14ac:dyDescent="0.25" r="19" customHeight="1" ht="19.5" hidden="1">
      <c r="A19" s="514" t="s">
        <v>592</v>
      </c>
      <c r="B19" s="515"/>
      <c r="C19" s="332"/>
      <c r="D19" s="8"/>
      <c r="E19" s="8"/>
      <c r="F19" s="8"/>
      <c r="G19" s="332"/>
      <c r="H19" s="332"/>
      <c r="I19" s="8"/>
      <c r="J19" s="8"/>
      <c r="K19" s="8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"/>
      <c r="BD19" s="3"/>
      <c r="BE19" s="3"/>
    </row>
    <row x14ac:dyDescent="0.25" r="20" customHeight="1" ht="19.5" hidden="1">
      <c r="A20" s="3"/>
      <c r="B20" s="30" t="s">
        <v>593</v>
      </c>
      <c r="C20" s="262">
        <f>SUM(C17:E17)/3</f>
      </c>
      <c r="D20" s="262">
        <f>SUM(D17:F17)/3</f>
      </c>
      <c r="E20" s="262">
        <f>SUM(E17:G17)/3</f>
      </c>
      <c r="F20" s="262">
        <f>SUM(F17:H17)/3</f>
      </c>
      <c r="G20" s="262">
        <f>SUM(G17:I17)/3</f>
      </c>
      <c r="H20" s="262">
        <f>SUM(H17:J17)/3</f>
      </c>
      <c r="I20" s="262">
        <f>SUM(I17:K17)/3</f>
      </c>
      <c r="J20" s="262">
        <f>SUM(J17:L17)/3</f>
      </c>
      <c r="K20" s="262">
        <f>SUM(K17:M17)/3</f>
      </c>
      <c r="L20" s="262">
        <f>SUM(L17:N17)/3</f>
      </c>
      <c r="M20" s="262">
        <f>SUM(M17:O17)/3</f>
      </c>
      <c r="N20" s="262">
        <f>SUM(N17:P17)/3</f>
      </c>
      <c r="O20" s="262">
        <f>SUM(O17:Q17)/3</f>
      </c>
      <c r="P20" s="262">
        <f>SUM(P17:R17)/3</f>
      </c>
      <c r="Q20" s="262">
        <f>SUM(Q17:S17)/3</f>
      </c>
      <c r="R20" s="262">
        <f>SUM(R17:T17)/3</f>
      </c>
      <c r="S20" s="262">
        <f>SUM(S17:U17)/3</f>
      </c>
      <c r="T20" s="262">
        <f>SUM(T17:V17)/3</f>
      </c>
      <c r="U20" s="262">
        <f>SUM(U17:W17)/3</f>
      </c>
      <c r="V20" s="262">
        <f>SUM(V17:X17)/3+0.96%</f>
      </c>
      <c r="W20" s="262">
        <f>SUM(W17:Y17)/3+1%</f>
      </c>
      <c r="X20" s="262">
        <f>SUM(X17:Z17)/3+0.4%</f>
      </c>
      <c r="Y20" s="262">
        <f>SUM(Y17:AA17)/3</f>
      </c>
      <c r="Z20" s="262">
        <f>SUM(Z17:AB17)/3</f>
      </c>
      <c r="AA20" s="262">
        <f>SUM(AA17:AC17)/3</f>
      </c>
      <c r="AB20" s="262">
        <f>SUM(AB17:AD17)/3</f>
      </c>
      <c r="AC20" s="262">
        <f>SUM(AC17:AE17)/3</f>
      </c>
      <c r="AD20" s="262">
        <f>SUM(AD17:AF17)/3</f>
      </c>
      <c r="AE20" s="262">
        <f>SUM(AE17:AG17)/3</f>
      </c>
      <c r="AF20" s="262">
        <f>SUM(AF17:AH17)/3</f>
      </c>
      <c r="AG20" s="262">
        <f>SUM(AG17:AI17)/3</f>
      </c>
      <c r="AH20" s="262">
        <v>0</v>
      </c>
      <c r="AI20" s="262">
        <v>0</v>
      </c>
      <c r="AJ20" s="262">
        <f>SUM(AJ17:AL17)/3</f>
      </c>
      <c r="AK20" s="262">
        <f>SUM(AK17:AM17)/3+1%</f>
      </c>
      <c r="AL20" s="262">
        <f>SUM(AL17:AN17)/3+1%</f>
      </c>
      <c r="AM20" s="262">
        <f>SUM(AM17:AO17)/3+1%</f>
      </c>
      <c r="AN20" s="262">
        <f>SUM(AN17:AP17)/3</f>
      </c>
      <c r="AO20" s="262">
        <f>SUM(AO17:AQ17)/3</f>
      </c>
      <c r="AP20" s="262">
        <f>SUM(AP17:AR17)/3</f>
      </c>
      <c r="AQ20" s="262">
        <f>SUM(AQ17:AS17)/3</f>
      </c>
      <c r="AR20" s="262">
        <f>SUM(AR17:AT17)/3</f>
      </c>
      <c r="AS20" s="262">
        <f>SUM(AS17:AU17)/3</f>
      </c>
      <c r="AT20" s="262">
        <f>SUM(AT17:AV17)/3</f>
      </c>
      <c r="AU20" s="262">
        <f>SUM(AU17:AW17)/3</f>
      </c>
      <c r="AV20" s="262">
        <f>SUM(AV17:AX17)/3</f>
      </c>
      <c r="AW20" s="262">
        <f>SUM(AW17:AY17)/3</f>
      </c>
      <c r="AX20" s="262">
        <f>SUM(AX17:AZ17)/3</f>
      </c>
      <c r="AY20" s="262">
        <f>SUM(AY17:BA17)/3</f>
      </c>
      <c r="AZ20" s="262">
        <f>SUM(AZ17:BB17)/3</f>
      </c>
      <c r="BA20" s="262">
        <v>0</v>
      </c>
      <c r="BB20" s="262">
        <f>SUM(BB17:BD17)/3</f>
      </c>
      <c r="BC20" s="3"/>
      <c r="BD20" s="3"/>
      <c r="BE20" s="3"/>
    </row>
    <row x14ac:dyDescent="0.25" r="21" customHeight="1" ht="19.5" hidden="1">
      <c r="A21" s="3"/>
      <c r="B21" s="30" t="s">
        <v>142</v>
      </c>
      <c r="C21" s="262">
        <f>SUM(C18:E18)/3</f>
      </c>
      <c r="D21" s="262">
        <f>SUM(D18:F18)/3</f>
      </c>
      <c r="E21" s="262">
        <f>SUM(E18:G18)/3</f>
      </c>
      <c r="F21" s="262">
        <f>SUM(F18:H18)/3</f>
      </c>
      <c r="G21" s="262">
        <f>SUM(G18:I18)/3</f>
      </c>
      <c r="H21" s="262">
        <f>SUM(H18:J18)/3</f>
      </c>
      <c r="I21" s="262">
        <f>SUM(I18:K18)/3</f>
      </c>
      <c r="J21" s="262">
        <f>SUM(J18:L18)/3</f>
      </c>
      <c r="K21" s="262">
        <f>SUM(K18:M18)/3</f>
      </c>
      <c r="L21" s="262">
        <f>SUM(L18:N18)/3</f>
      </c>
      <c r="M21" s="262">
        <f>SUM(M18:O18)/3</f>
      </c>
      <c r="N21" s="262">
        <f>SUM(N18:P18)/3</f>
      </c>
      <c r="O21" s="262">
        <f>SUM(O18:Q18)/3</f>
      </c>
      <c r="P21" s="262">
        <f>SUM(P18:R18)/3</f>
      </c>
      <c r="Q21" s="262">
        <f>SUM(Q18:S18)/3</f>
      </c>
      <c r="R21" s="262">
        <f>SUM(R18:T18)/3</f>
      </c>
      <c r="S21" s="262">
        <f>SUM(S18:U18)/3</f>
      </c>
      <c r="T21" s="262">
        <f>SUM(T18:V18)/3</f>
      </c>
      <c r="U21" s="262">
        <f>SUM(U18:W18)/3</f>
      </c>
      <c r="V21" s="262">
        <f>SUM(V18:X18)/3</f>
      </c>
      <c r="W21" s="262">
        <f>SUM(W18:Y18)/3-0.18%</f>
      </c>
      <c r="X21" s="262">
        <f>SUM(X18:Z18)/3</f>
      </c>
      <c r="Y21" s="262">
        <f>SUM(Y18:AA18)/3</f>
      </c>
      <c r="Z21" s="262">
        <f>SUM(Z18:AB18)/3</f>
      </c>
      <c r="AA21" s="262">
        <f>SUM(AA18:AC18)/3+1.8%</f>
      </c>
      <c r="AB21" s="262">
        <f>SUM(AB18:AD18)/3+1%</f>
      </c>
      <c r="AC21" s="262">
        <f>SUM(AC18:AE18)/3</f>
      </c>
      <c r="AD21" s="262">
        <f>SUM(AD18:AF18)/3</f>
      </c>
      <c r="AE21" s="262">
        <f>SUM(AE18:AG18)/3</f>
      </c>
      <c r="AF21" s="262">
        <f>SUM(AF18:AH18)/3</f>
      </c>
      <c r="AG21" s="262">
        <f>SUM(AG18:AI18)/3</f>
      </c>
      <c r="AH21" s="262">
        <v>0</v>
      </c>
      <c r="AI21" s="262">
        <v>0</v>
      </c>
      <c r="AJ21" s="262">
        <f>SUM(AJ18:AL18)/3+1%</f>
      </c>
      <c r="AK21" s="262">
        <f>SUM(AK18:AM18)/3+1%</f>
      </c>
      <c r="AL21" s="262">
        <f>SUM(AL18:AN18)/3+1%</f>
      </c>
      <c r="AM21" s="262">
        <f>SUM(AM18:AO18)/3</f>
      </c>
      <c r="AN21" s="262">
        <f>SUM(AN18:AP18)/3</f>
      </c>
      <c r="AO21" s="262">
        <f>SUM(AO18:AQ18)/3</f>
      </c>
      <c r="AP21" s="262">
        <f>SUM(AP18:AR18)/3</f>
      </c>
      <c r="AQ21" s="262">
        <f>SUM(AQ18:AS18)/3</f>
      </c>
      <c r="AR21" s="262">
        <f>SUM(AR18:AT18)/3</f>
      </c>
      <c r="AS21" s="262">
        <f>SUM(AS18:AU18)/3</f>
      </c>
      <c r="AT21" s="262">
        <f>SUM(AT18:AV18)/3</f>
      </c>
      <c r="AU21" s="262">
        <f>SUM(AU18:AW18)/3</f>
      </c>
      <c r="AV21" s="262">
        <f>SUM(AV18:AX18)/3</f>
      </c>
      <c r="AW21" s="262">
        <f>SUM(AW18:AY18)/3</f>
      </c>
      <c r="AX21" s="262">
        <f>SUM(AX18:AZ18)/3</f>
      </c>
      <c r="AY21" s="262">
        <f>SUM(AY18:BA18)/3</f>
      </c>
      <c r="AZ21" s="262">
        <f>SUM(AZ18:BB18)/3</f>
      </c>
      <c r="BA21" s="262">
        <f>SUM(BA18:BC18)/3+0.27%</f>
      </c>
      <c r="BB21" s="262">
        <f>SUM(BB18:BD18)/3</f>
      </c>
      <c r="BC21" s="3"/>
      <c r="BD21" s="3"/>
      <c r="BE21" s="3"/>
    </row>
    <row x14ac:dyDescent="0.25" r="22" customHeight="1" ht="19.5">
      <c r="A22" s="3"/>
      <c r="B22" s="30" t="s">
        <v>594</v>
      </c>
      <c r="C22" s="437"/>
      <c r="D22" s="437"/>
      <c r="E22" s="437"/>
      <c r="F22" s="437"/>
      <c r="G22" s="437"/>
      <c r="H22" s="437"/>
      <c r="I22" s="437"/>
      <c r="J22" s="437"/>
      <c r="K22" s="437"/>
      <c r="L22" s="437"/>
      <c r="M22" s="437"/>
      <c r="N22" s="437"/>
      <c r="O22" s="437"/>
      <c r="P22" s="437"/>
      <c r="Q22" s="437"/>
      <c r="R22" s="437"/>
      <c r="S22" s="437"/>
      <c r="T22" s="437"/>
      <c r="U22" s="437"/>
      <c r="V22" s="437"/>
      <c r="W22" s="437"/>
      <c r="X22" s="437"/>
      <c r="Y22" s="437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3"/>
      <c r="BD22" s="3"/>
      <c r="BE22" s="3"/>
    </row>
    <row x14ac:dyDescent="0.25" r="23" customHeight="1" ht="19.5">
      <c r="A23" s="3"/>
      <c r="B23" s="3"/>
      <c r="C23" s="437"/>
      <c r="D23" s="437"/>
      <c r="E23" s="437"/>
      <c r="F23" s="437"/>
      <c r="G23" s="437"/>
      <c r="H23" s="437"/>
      <c r="I23" s="437"/>
      <c r="J23" s="437"/>
      <c r="K23" s="437"/>
      <c r="L23" s="437"/>
      <c r="M23" s="437"/>
      <c r="N23" s="437"/>
      <c r="O23" s="437"/>
      <c r="P23" s="437"/>
      <c r="Q23" s="437"/>
      <c r="R23" s="437"/>
      <c r="S23" s="437"/>
      <c r="T23" s="437"/>
      <c r="U23" s="437"/>
      <c r="V23" s="437"/>
      <c r="W23" s="437"/>
      <c r="X23" s="437"/>
      <c r="Y23" s="437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3"/>
      <c r="BD23" s="3"/>
      <c r="BE23" s="3"/>
    </row>
    <row x14ac:dyDescent="0.25" r="24" customHeight="1" ht="19.5">
      <c r="A24" s="3"/>
      <c r="B24" s="3"/>
      <c r="C24" s="437"/>
      <c r="D24" s="437"/>
      <c r="E24" s="437"/>
      <c r="F24" s="437"/>
      <c r="G24" s="437"/>
      <c r="H24" s="437"/>
      <c r="I24" s="437"/>
      <c r="J24" s="437"/>
      <c r="K24" s="437"/>
      <c r="L24" s="437"/>
      <c r="M24" s="437"/>
      <c r="N24" s="437"/>
      <c r="O24" s="437"/>
      <c r="P24" s="437"/>
      <c r="Q24" s="437"/>
      <c r="R24" s="437"/>
      <c r="S24" s="437"/>
      <c r="T24" s="437"/>
      <c r="U24" s="437"/>
      <c r="V24" s="437"/>
      <c r="W24" s="437"/>
      <c r="X24" s="437"/>
      <c r="Y24" s="437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3"/>
      <c r="BD24" s="3"/>
      <c r="BE24" s="3"/>
    </row>
    <row x14ac:dyDescent="0.25" r="25" customHeight="1" ht="19.5">
      <c r="A25" s="3"/>
      <c r="B25" s="33" t="s">
        <v>455</v>
      </c>
      <c r="C25" s="9">
        <f>SUMIFS(tbl_DCFC[C Montant &amp;#8364; HT],tbl_DCFC[CW ORDER],C$1,tbl_DCFC[BU_Key],"GSE")</f>
      </c>
      <c r="D25" s="9">
        <f>SUMIFS(tbl_DCFC[C Montant &amp;#8364; HT],tbl_DCFC[CW ORDER],D$1,tbl_DCFC[BU_Key],"GSE")</f>
      </c>
      <c r="E25" s="9">
        <f>SUMIFS(tbl_DCFC[C Montant &amp;#8364; HT],tbl_DCFC[CW ORDER],E$1,tbl_DCFC[BU_Key],"GSE")</f>
      </c>
      <c r="F25" s="9">
        <f>SUMIFS(tbl_DCFC[C Montant &amp;#8364; HT],tbl_DCFC[CW ORDER],F$1,tbl_DCFC[BU_Key],"GSE")</f>
      </c>
      <c r="G25" s="9">
        <f>SUMIFS(tbl_DCFC[C Montant &amp;#8364; HT],tbl_DCFC[CW ORDER],G$1,tbl_DCFC[BU_Key],"GSE")</f>
      </c>
      <c r="H25" s="9">
        <f>SUMIFS(tbl_DCFC[C Montant &amp;#8364; HT],tbl_DCFC[CW ORDER],H$1,tbl_DCFC[BU_Key],"GSE")</f>
      </c>
      <c r="I25" s="9">
        <f>SUMIFS(tbl_DCFC[C Montant &amp;#8364; HT],tbl_DCFC[CW ORDER],I$1,tbl_DCFC[BU_Key],"GSE")</f>
      </c>
      <c r="J25" s="9">
        <f>SUMIFS(tbl_DCFC[C Montant &amp;#8364; HT],tbl_DCFC[CW ORDER],J$1,tbl_DCFC[BU_Key],"GSE")</f>
      </c>
      <c r="K25" s="9">
        <f>SUMIFS(tbl_DCFC[C Montant &amp;#8364; HT],tbl_DCFC[CW ORDER],K$1,tbl_DCFC[BU_Key],"GSE")</f>
      </c>
      <c r="L25" s="9">
        <f>SUMIFS(tbl_DCFC[C Montant &amp;#8364; HT],tbl_DCFC[CW ORDER],L$1,tbl_DCFC[BU_Key],"GSE")</f>
      </c>
      <c r="M25" s="9">
        <f>SUMIFS(tbl_DCFC[C Montant &amp;#8364; HT],tbl_DCFC[CW ORDER],M$1,tbl_DCFC[BU_Key],"GSE")</f>
      </c>
      <c r="N25" s="9">
        <f>SUMIFS(tbl_DCFC[C Montant &amp;#8364; HT],tbl_DCFC[CW ORDER],N$1,tbl_DCFC[BU_Key],"GSE")</f>
      </c>
      <c r="O25" s="9">
        <f>SUMIFS(tbl_DCFC[C Montant &amp;#8364; HT],tbl_DCFC[CW ORDER],O$1,tbl_DCFC[BU_Key],"GSE")</f>
      </c>
      <c r="P25" s="9">
        <f>SUMIFS(tbl_DCFC[C Montant &amp;#8364; HT],tbl_DCFC[CW ORDER],P$1,tbl_DCFC[BU_Key],"GSE")</f>
      </c>
      <c r="Q25" s="9">
        <f>SUMIFS(tbl_DCFC[C Montant &amp;#8364; HT],tbl_DCFC[CW ORDER],Q$1,tbl_DCFC[BU_Key],"GSE")</f>
      </c>
      <c r="R25" s="9">
        <f>SUMIFS(tbl_DCFC[C Montant &amp;#8364; HT],tbl_DCFC[CW ORDER],R$1,tbl_DCFC[BU_Key],"GSE")</f>
      </c>
      <c r="S25" s="9">
        <f>SUMIFS(tbl_DCFC[C Montant &amp;#8364; HT],tbl_DCFC[CW ORDER],S$1,tbl_DCFC[BU_Key],"GSE")</f>
      </c>
      <c r="T25" s="9">
        <f>SUMIFS(tbl_DCFC[C Montant &amp;#8364; HT],tbl_DCFC[CW ORDER],T$1,tbl_DCFC[BU_Key],"GSE")</f>
      </c>
      <c r="U25" s="9">
        <f>SUMIFS(tbl_DCFC[C Montant &amp;#8364; HT],tbl_DCFC[CW ORDER],U$1,tbl_DCFC[BU_Key],"GSE")</f>
      </c>
      <c r="V25" s="9">
        <f>SUMIFS(tbl_DCFC[C Montant &amp;#8364; HT],tbl_DCFC[CW ORDER],V$1,tbl_DCFC[BU_Key],"GSE")</f>
      </c>
      <c r="W25" s="9">
        <f>SUMIFS(tbl_DCFC[C Montant &amp;#8364; HT],tbl_DCFC[CW ORDER],W$1,tbl_DCFC[BU_Key],"GSE")</f>
      </c>
      <c r="X25" s="9">
        <f>SUMIFS(tbl_DCFC[C Montant &amp;#8364; HT],tbl_DCFC[CW ORDER],X$1,tbl_DCFC[BU_Key],"GSE")</f>
      </c>
      <c r="Y25" s="9">
        <f>SUMIFS(tbl_DCFC[C Montant &amp;#8364; HT],tbl_DCFC[CW ORDER],Y$1,tbl_DCFC[BU_Key],"GSE")</f>
      </c>
      <c r="Z25" s="9">
        <f>SUMIFS(tbl_DCFC[C Montant &amp;#8364; HT],tbl_DCFC[CW ORDER],Z$1,tbl_DCFC[BU_Key],"GSE")</f>
      </c>
      <c r="AA25" s="9">
        <f>SUMIFS(tbl_DCFC[C Montant &amp;#8364; HT],tbl_DCFC[CW ORDER],AA$1,tbl_DCFC[BU_Key],"GSE")</f>
      </c>
      <c r="AB25" s="9">
        <f>SUMIFS(tbl_DCFC[C Montant &amp;#8364; HT],tbl_DCFC[CW ORDER],AB$1,tbl_DCFC[BU_Key],"GSE")</f>
      </c>
      <c r="AC25" s="9">
        <f>SUMIFS(tbl_DCFC[C Montant &amp;#8364; HT],tbl_DCFC[CW ORDER],AC$1,tbl_DCFC[BU_Key],"GSE")</f>
      </c>
      <c r="AD25" s="9">
        <f>SUMIFS(tbl_DCFC[C Montant &amp;#8364; HT],tbl_DCFC[CW ORDER],AD$1,tbl_DCFC[BU_Key],"GSE")</f>
      </c>
      <c r="AE25" s="9">
        <f>SUMIFS(tbl_DCFC[C Montant &amp;#8364; HT],tbl_DCFC[CW ORDER],AE$1,tbl_DCFC[BU_Key],"GSE")</f>
      </c>
      <c r="AF25" s="9">
        <f>SUMIFS(tbl_DCFC[C Montant &amp;#8364; HT],tbl_DCFC[CW ORDER],AF$1,tbl_DCFC[BU_Key],"GSE")</f>
      </c>
      <c r="AG25" s="9">
        <f>SUMIFS(tbl_DCFC[C Montant &amp;#8364; HT],tbl_DCFC[CW ORDER],AG$1,tbl_DCFC[BU_Key],"GSE")</f>
      </c>
      <c r="AH25" s="9">
        <f>SUMIFS(tbl_DCFC[C Montant &amp;#8364; HT],tbl_DCFC[CW ORDER],AH$1,tbl_DCFC[BU_Key],"GSE")</f>
      </c>
      <c r="AI25" s="9">
        <f>SUMIFS(tbl_DCFC[C Montant &amp;#8364; HT],tbl_DCFC[CW ORDER],AI$1,tbl_DCFC[BU_Key],"GSE")</f>
      </c>
      <c r="AJ25" s="9">
        <f>SUMIFS(tbl_DCFC[C Montant &amp;#8364; HT],tbl_DCFC[CW ORDER],AJ$1,tbl_DCFC[BU_Key],"GSE")</f>
      </c>
      <c r="AK25" s="9">
        <f>SUMIFS(tbl_DCFC[C Montant &amp;#8364; HT],tbl_DCFC[CW ORDER],AK$1,tbl_DCFC[BU_Key],"GSE")</f>
      </c>
      <c r="AL25" s="9">
        <f>SUMIFS(tbl_DCFC[C Montant &amp;#8364; HT],tbl_DCFC[CW ORDER],AL$1,tbl_DCFC[BU_Key],"GSE")</f>
      </c>
      <c r="AM25" s="9">
        <f>SUMIFS(tbl_DCFC[C Montant &amp;#8364; HT],tbl_DCFC[CW ORDER],AM$1,tbl_DCFC[BU_Key],"GSE")</f>
      </c>
      <c r="AN25" s="9">
        <f>SUMIFS(tbl_DCFC[C Montant &amp;#8364; HT],tbl_DCFC[CW ORDER],AN$1,tbl_DCFC[BU_Key],"GSE")</f>
      </c>
      <c r="AO25" s="9">
        <f>SUMIFS(tbl_DCFC[C Montant &amp;#8364; HT],tbl_DCFC[CW ORDER],AO$1,tbl_DCFC[BU_Key],"GSE")</f>
      </c>
      <c r="AP25" s="9">
        <f>SUMIFS(tbl_DCFC[C Montant &amp;#8364; HT],tbl_DCFC[CW ORDER],AP$1,tbl_DCFC[BU_Key],"GSE")</f>
      </c>
      <c r="AQ25" s="9">
        <f>SUMIFS(tbl_DCFC[D Montant &amp;#8364; HT],tbl_DCFC[Date Devis],AQ$1,tbl_DCFC[Spalte10],"GSE")</f>
      </c>
      <c r="AR25" s="9">
        <f>SUMIFS(tbl_DCFC[C Montant &amp;#8364; HT],tbl_DCFC[CW ORDER],AR$1,tbl_DCFC[BU_Key],"GSE")</f>
      </c>
      <c r="AS25" s="9">
        <f>SUMIFS(tbl_DCFC[C Montant &amp;#8364; HT],tbl_DCFC[CW ORDER],AS$1,tbl_DCFC[BU_Key],"GSE")</f>
      </c>
      <c r="AT25" s="9">
        <f>SUMIFS(tbl_DCFC[C Montant &amp;#8364; HT],tbl_DCFC[CW ORDER],AT$1,tbl_DCFC[BU_Key],"GSE")</f>
      </c>
      <c r="AU25" s="9">
        <f>SUMIFS(tbl_DCFC[C Montant &amp;#8364; HT],tbl_DCFC[CW ORDER],AU$1,tbl_DCFC[BU_Key],"GSE")</f>
      </c>
      <c r="AV25" s="9">
        <f>SUMIFS(tbl_DCFC[C Montant &amp;#8364; HT],tbl_DCFC[CW ORDER],AV$1,tbl_DCFC[BU_Key],"GSE")</f>
      </c>
      <c r="AW25" s="9">
        <f>SUMIFS(tbl_DCFC[C Montant &amp;#8364; HT],tbl_DCFC[CW ORDER],AW$1,tbl_DCFC[BU_Key],"GSE")</f>
      </c>
      <c r="AX25" s="9">
        <f>SUMIFS(tbl_DCFC[C Montant &amp;#8364; HT],tbl_DCFC[CW ORDER],AX$1,tbl_DCFC[BU_Key],"GSE")</f>
      </c>
      <c r="AY25" s="9">
        <f>SUMIFS(tbl_DCFC[C Montant &amp;#8364; HT],tbl_DCFC[CW ORDER],AY$1,tbl_DCFC[BU_Key],"GSE")</f>
      </c>
      <c r="AZ25" s="9">
        <f>SUMIFS(tbl_DCFC[C Montant &amp;#8364; HT],tbl_DCFC[CW ORDER],AZ$1,tbl_DCFC[BU_Key],"GSE")</f>
      </c>
      <c r="BA25" s="9">
        <f>SUMIFS(tbl_DCFC[C Montant &amp;#8364; HT],tbl_DCFC[CW ORDER],BA$1,tbl_DCFC[BU_Key],"GSE")</f>
      </c>
      <c r="BB25" s="9">
        <f>SUMIFS(tbl_DCFC[C Montant &amp;#8364; HT],tbl_DCFC[CW ORDER],BB$1,tbl_DCFC[BU_Key],"GSE")</f>
      </c>
      <c r="BC25" s="3"/>
      <c r="BD25" s="3"/>
      <c r="BE25" s="3"/>
    </row>
    <row x14ac:dyDescent="0.25" r="26" customHeight="1" ht="19.5">
      <c r="A26" s="3"/>
      <c r="B26" s="33" t="s">
        <v>456</v>
      </c>
      <c r="C26" s="9">
        <f>SUMIFS(tbl_DCFC[C Montant &amp;#8364; HT],tbl_DCFC[CW ORDER],C$1,tbl_DCFC[BU_Key],"TOO")</f>
      </c>
      <c r="D26" s="9">
        <f>SUMIFS(tbl_DCFC[C Montant &amp;#8364; HT],tbl_DCFC[CW ORDER],D$1,tbl_DCFC[BU_Key],"TOO")</f>
      </c>
      <c r="E26" s="9">
        <f>SUMIFS(tbl_DCFC[C Montant &amp;#8364; HT],tbl_DCFC[CW ORDER],E$1,tbl_DCFC[BU_Key],"TOO")</f>
      </c>
      <c r="F26" s="9">
        <f>SUMIFS(tbl_DCFC[C Montant &amp;#8364; HT],tbl_DCFC[CW ORDER],F$1,tbl_DCFC[BU_Key],"TOO")</f>
      </c>
      <c r="G26" s="9">
        <f>SUMIFS(tbl_DCFC[C Montant &amp;#8364; HT],tbl_DCFC[CW ORDER],G$1,tbl_DCFC[BU_Key],"TOO")</f>
      </c>
      <c r="H26" s="9">
        <f>SUMIFS(tbl_DCFC[C Montant &amp;#8364; HT],tbl_DCFC[CW ORDER],H$1,tbl_DCFC[BU_Key],"TOO")</f>
      </c>
      <c r="I26" s="9">
        <f>SUMIFS(tbl_DCFC[C Montant &amp;#8364; HT],tbl_DCFC[CW ORDER],I$1,tbl_DCFC[BU_Key],"TOO")</f>
      </c>
      <c r="J26" s="9">
        <f>SUMIFS(tbl_DCFC[C Montant &amp;#8364; HT],tbl_DCFC[CW ORDER],J$1,tbl_DCFC[BU_Key],"TOO")</f>
      </c>
      <c r="K26" s="9">
        <f>SUMIFS(tbl_DCFC[C Montant &amp;#8364; HT],tbl_DCFC[CW ORDER],K$1,tbl_DCFC[BU_Key],"TOO")</f>
      </c>
      <c r="L26" s="9">
        <f>SUMIFS(tbl_DCFC[C Montant &amp;#8364; HT],tbl_DCFC[CW ORDER],L$1,tbl_DCFC[BU_Key],"TOO")</f>
      </c>
      <c r="M26" s="9">
        <f>SUMIFS(tbl_DCFC[C Montant &amp;#8364; HT],tbl_DCFC[CW ORDER],M$1,tbl_DCFC[BU_Key],"TOO")</f>
      </c>
      <c r="N26" s="9">
        <f>SUMIFS(tbl_DCFC[C Montant &amp;#8364; HT],tbl_DCFC[CW ORDER],N$1,tbl_DCFC[BU_Key],"TOO")</f>
      </c>
      <c r="O26" s="9">
        <f>SUMIFS(tbl_DCFC[C Montant &amp;#8364; HT],tbl_DCFC[CW ORDER],O$1,tbl_DCFC[BU_Key],"TOO")</f>
      </c>
      <c r="P26" s="9">
        <f>SUMIFS(tbl_DCFC[C Montant &amp;#8364; HT],tbl_DCFC[CW ORDER],P$1,tbl_DCFC[BU_Key],"TOO")</f>
      </c>
      <c r="Q26" s="9">
        <f>SUMIFS(tbl_DCFC[C Montant &amp;#8364; HT],tbl_DCFC[CW ORDER],Q$1,tbl_DCFC[BU_Key],"TOO")</f>
      </c>
      <c r="R26" s="9">
        <f>SUMIFS(tbl_DCFC[C Montant &amp;#8364; HT],tbl_DCFC[CW ORDER],R$1,tbl_DCFC[BU_Key],"TOO")</f>
      </c>
      <c r="S26" s="9">
        <f>SUMIFS(tbl_DCFC[C Montant &amp;#8364; HT],tbl_DCFC[CW ORDER],S$1,tbl_DCFC[BU_Key],"TOO")</f>
      </c>
      <c r="T26" s="9">
        <f>SUMIFS(tbl_DCFC[C Montant &amp;#8364; HT],tbl_DCFC[CW ORDER],T$1,tbl_DCFC[BU_Key],"TOO")</f>
      </c>
      <c r="U26" s="9">
        <f>SUMIFS(tbl_DCFC[C Montant &amp;#8364; HT],tbl_DCFC[CW ORDER],U$1,tbl_DCFC[BU_Key],"TOO")</f>
      </c>
      <c r="V26" s="9">
        <f>SUMIFS(tbl_DCFC[C Montant &amp;#8364; HT],tbl_DCFC[CW ORDER],V$1,tbl_DCFC[BU_Key],"TOO")</f>
      </c>
      <c r="W26" s="9">
        <f>SUMIFS(tbl_DCFC[C Montant &amp;#8364; HT],tbl_DCFC[CW ORDER],W$1,tbl_DCFC[BU_Key],"TOO")</f>
      </c>
      <c r="X26" s="9">
        <f>SUMIFS(tbl_DCFC[C Montant &amp;#8364; HT],tbl_DCFC[CW ORDER],X$1,tbl_DCFC[BU_Key],"TOO")</f>
      </c>
      <c r="Y26" s="9">
        <f>SUMIFS(tbl_DCFC[C Montant &amp;#8364; HT],tbl_DCFC[CW ORDER],Y$1,tbl_DCFC[BU_Key],"TOO")</f>
      </c>
      <c r="Z26" s="9">
        <f>SUMIFS(tbl_DCFC[C Montant &amp;#8364; HT],tbl_DCFC[CW ORDER],Z$1,tbl_DCFC[BU_Key],"TOO")</f>
      </c>
      <c r="AA26" s="9">
        <f>SUMIFS(tbl_DCFC[C Montant &amp;#8364; HT],tbl_DCFC[CW ORDER],AA$1,tbl_DCFC[BU_Key],"TOO")</f>
      </c>
      <c r="AB26" s="9">
        <f>SUMIFS(tbl_DCFC[C Montant &amp;#8364; HT],tbl_DCFC[CW ORDER],AB$1,tbl_DCFC[BU_Key],"TOO")</f>
      </c>
      <c r="AC26" s="9">
        <f>SUMIFS(tbl_DCFC[C Montant &amp;#8364; HT],tbl_DCFC[CW ORDER],AC$1,tbl_DCFC[BU_Key],"TOO")</f>
      </c>
      <c r="AD26" s="9">
        <f>SUMIFS(tbl_DCFC[C Montant &amp;#8364; HT],tbl_DCFC[CW ORDER],AD$1,tbl_DCFC[BU_Key],"TOO")</f>
      </c>
      <c r="AE26" s="9">
        <f>SUMIFS(tbl_DCFC[C Montant &amp;#8364; HT],tbl_DCFC[CW ORDER],AE$1,tbl_DCFC[BU_Key],"TOO")</f>
      </c>
      <c r="AF26" s="9">
        <f>SUMIFS(tbl_DCFC[C Montant &amp;#8364; HT],tbl_DCFC[CW ORDER],AF$1,tbl_DCFC[BU_Key],"TOO")</f>
      </c>
      <c r="AG26" s="9">
        <f>SUMIFS(tbl_DCFC[C Montant &amp;#8364; HT],tbl_DCFC[CW ORDER],AG$1,tbl_DCFC[BU_Key],"TOO")</f>
      </c>
      <c r="AH26" s="9">
        <f>SUMIFS(tbl_DCFC[C Montant &amp;#8364; HT],tbl_DCFC[CW ORDER],AH$1,tbl_DCFC[BU_Key],"TOO")</f>
      </c>
      <c r="AI26" s="9">
        <f>SUMIFS(tbl_DCFC[C Montant &amp;#8364; HT],tbl_DCFC[CW ORDER],AI$1,tbl_DCFC[BU_Key],"TOO")</f>
      </c>
      <c r="AJ26" s="9">
        <f>SUMIFS(tbl_DCFC[C Montant &amp;#8364; HT],tbl_DCFC[CW ORDER],AJ$1,tbl_DCFC[BU_Key],"TOO")</f>
      </c>
      <c r="AK26" s="9">
        <f>SUMIFS(tbl_DCFC[C Montant &amp;#8364; HT],tbl_DCFC[CW ORDER],AK$1,tbl_DCFC[BU_Key],"TOO")</f>
      </c>
      <c r="AL26" s="9">
        <f>SUMIFS(tbl_DCFC[C Montant &amp;#8364; HT],tbl_DCFC[CW ORDER],AL$1,tbl_DCFC[BU_Key],"TOO")</f>
      </c>
      <c r="AM26" s="9">
        <f>SUMIFS(tbl_DCFC[C Montant &amp;#8364; HT],tbl_DCFC[CW ORDER],AM$1,tbl_DCFC[BU_Key],"TOO")</f>
      </c>
      <c r="AN26" s="9">
        <f>SUMIFS(tbl_DCFC[C Montant &amp;#8364; HT],tbl_DCFC[CW ORDER],AN$1,tbl_DCFC[BU_Key],"TOO")</f>
      </c>
      <c r="AO26" s="9">
        <f>SUMIFS(tbl_DCFC[C Montant &amp;#8364; HT],tbl_DCFC[CW ORDER],AO$1,tbl_DCFC[BU_Key],"TOO")</f>
      </c>
      <c r="AP26" s="9">
        <f>SUMIFS(tbl_DCFC[C Montant &amp;#8364; HT],tbl_DCFC[CW ORDER],AP$1,tbl_DCFC[BU_Key],"TOO")</f>
      </c>
      <c r="AQ26" s="9">
        <f>SUMIFS(tbl_DCFC[D Montant &amp;#8364; HT],tbl_DCFC[Date Devis],AQ$1,tbl_DCFC[Spalte10],"TOO")</f>
      </c>
      <c r="AR26" s="9">
        <f>SUMIFS(tbl_DCFC[C Montant &amp;#8364; HT],tbl_DCFC[CW ORDER],AR$1,tbl_DCFC[BU_Key],"TOO")</f>
      </c>
      <c r="AS26" s="9">
        <f>SUMIFS(tbl_DCFC[C Montant &amp;#8364; HT],tbl_DCFC[CW ORDER],AS$1,tbl_DCFC[BU_Key],"TOO")</f>
      </c>
      <c r="AT26" s="9">
        <f>SUMIFS(tbl_DCFC[C Montant &amp;#8364; HT],tbl_DCFC[CW ORDER],AT$1,tbl_DCFC[BU_Key],"TOO")</f>
      </c>
      <c r="AU26" s="9">
        <f>SUMIFS(tbl_DCFC[C Montant &amp;#8364; HT],tbl_DCFC[CW ORDER],AU$1,tbl_DCFC[BU_Key],"TOO")</f>
      </c>
      <c r="AV26" s="9">
        <f>SUMIFS(tbl_DCFC[C Montant &amp;#8364; HT],tbl_DCFC[CW ORDER],AV$1,tbl_DCFC[BU_Key],"TOO")</f>
      </c>
      <c r="AW26" s="9">
        <f>SUMIFS(tbl_DCFC[C Montant &amp;#8364; HT],tbl_DCFC[CW ORDER],AW$1,tbl_DCFC[BU_Key],"TOO")</f>
      </c>
      <c r="AX26" s="9">
        <f>SUMIFS(tbl_DCFC[C Montant &amp;#8364; HT],tbl_DCFC[CW ORDER],AX$1,tbl_DCFC[BU_Key],"TOO")</f>
      </c>
      <c r="AY26" s="9">
        <f>SUMIFS(tbl_DCFC[C Montant &amp;#8364; HT],tbl_DCFC[CW ORDER],AY$1,tbl_DCFC[BU_Key],"TOO")</f>
      </c>
      <c r="AZ26" s="9">
        <f>SUMIFS(tbl_DCFC[C Montant &amp;#8364; HT],tbl_DCFC[CW ORDER],AZ$1,tbl_DCFC[BU_Key],"TOO")</f>
      </c>
      <c r="BA26" s="9">
        <f>SUMIFS(tbl_DCFC[C Montant &amp;#8364; HT],tbl_DCFC[CW ORDER],BA$1,tbl_DCFC[BU_Key],"TOO")</f>
      </c>
      <c r="BB26" s="9">
        <f>SUMIFS(tbl_DCFC[C Montant &amp;#8364; HT],tbl_DCFC[CW ORDER],BB$1,tbl_DCFC[BU_Key],"TOO")</f>
      </c>
      <c r="BC26" s="3"/>
      <c r="BD26" s="3"/>
      <c r="BE26" s="3"/>
    </row>
    <row x14ac:dyDescent="0.25" r="27" customHeight="1" ht="19.5">
      <c r="A27" s="3"/>
      <c r="B27" s="33" t="s">
        <v>457</v>
      </c>
      <c r="C27" s="9">
        <f>SUMIFS(tbl_DCFC[C Montant &amp;#8364; HT],tbl_DCFC[CW ORDER],C$1,tbl_DCFC[BU_Key],"SER")</f>
      </c>
      <c r="D27" s="9">
        <f>SUMIFS(tbl_DCFC[C Montant &amp;#8364; HT],tbl_DCFC[CW ORDER],D$1,tbl_DCFC[BU_Key],"SER")</f>
      </c>
      <c r="E27" s="9">
        <f>SUMIFS(tbl_DCFC[C Montant &amp;#8364; HT],tbl_DCFC[CW ORDER],E$1,tbl_DCFC[BU_Key],"SER")</f>
      </c>
      <c r="F27" s="9">
        <f>SUMIFS(tbl_DCFC[C Montant &amp;#8364; HT],tbl_DCFC[CW ORDER],F$1,tbl_DCFC[BU_Key],"SER")</f>
      </c>
      <c r="G27" s="9">
        <f>SUMIFS(tbl_DCFC[C Montant &amp;#8364; HT],tbl_DCFC[CW ORDER],G$1,tbl_DCFC[BU_Key],"SER")</f>
      </c>
      <c r="H27" s="9">
        <f>SUMIFS(tbl_DCFC[C Montant &amp;#8364; HT],tbl_DCFC[CW ORDER],H$1,tbl_DCFC[BU_Key],"SER")</f>
      </c>
      <c r="I27" s="9">
        <f>SUMIFS(tbl_DCFC[C Montant &amp;#8364; HT],tbl_DCFC[CW ORDER],I$1,tbl_DCFC[BU_Key],"SER")</f>
      </c>
      <c r="J27" s="9">
        <f>SUMIFS(tbl_DCFC[C Montant &amp;#8364; HT],tbl_DCFC[CW ORDER],J$1,tbl_DCFC[BU_Key],"SER")</f>
      </c>
      <c r="K27" s="9">
        <f>SUMIFS(tbl_DCFC[C Montant &amp;#8364; HT],tbl_DCFC[CW ORDER],K$1,tbl_DCFC[BU_Key],"SER")</f>
      </c>
      <c r="L27" s="9">
        <f>SUMIFS(tbl_DCFC[C Montant &amp;#8364; HT],tbl_DCFC[CW ORDER],L$1,tbl_DCFC[BU_Key],"SER")</f>
      </c>
      <c r="M27" s="9">
        <f>SUMIFS(tbl_DCFC[C Montant &amp;#8364; HT],tbl_DCFC[CW ORDER],M$1,tbl_DCFC[BU_Key],"SER")</f>
      </c>
      <c r="N27" s="9">
        <f>SUMIFS(tbl_DCFC[C Montant &amp;#8364; HT],tbl_DCFC[CW ORDER],N$1,tbl_DCFC[BU_Key],"SER")</f>
      </c>
      <c r="O27" s="9">
        <f>SUMIFS(tbl_DCFC[C Montant &amp;#8364; HT],tbl_DCFC[CW ORDER],O$1,tbl_DCFC[BU_Key],"SER")</f>
      </c>
      <c r="P27" s="9">
        <f>SUMIFS(tbl_DCFC[C Montant &amp;#8364; HT],tbl_DCFC[CW ORDER],P$1,tbl_DCFC[BU_Key],"SER")</f>
      </c>
      <c r="Q27" s="9">
        <f>SUMIFS(tbl_DCFC[C Montant &amp;#8364; HT],tbl_DCFC[CW ORDER],Q$1,tbl_DCFC[BU_Key],"SER")</f>
      </c>
      <c r="R27" s="9">
        <f>SUMIFS(tbl_DCFC[C Montant &amp;#8364; HT],tbl_DCFC[CW ORDER],R$1,tbl_DCFC[BU_Key],"SER")</f>
      </c>
      <c r="S27" s="9">
        <f>SUMIFS(tbl_DCFC[C Montant &amp;#8364; HT],tbl_DCFC[CW ORDER],S$1,tbl_DCFC[BU_Key],"SER")</f>
      </c>
      <c r="T27" s="9">
        <f>SUMIFS(tbl_DCFC[C Montant &amp;#8364; HT],tbl_DCFC[CW ORDER],T$1,tbl_DCFC[BU_Key],"SER")</f>
      </c>
      <c r="U27" s="9">
        <f>SUMIFS(tbl_DCFC[C Montant &amp;#8364; HT],tbl_DCFC[CW ORDER],U$1,tbl_DCFC[BU_Key],"SER")</f>
      </c>
      <c r="V27" s="9">
        <f>SUMIFS(tbl_DCFC[C Montant &amp;#8364; HT],tbl_DCFC[CW ORDER],V$1,tbl_DCFC[BU_Key],"SER")</f>
      </c>
      <c r="W27" s="9">
        <f>SUMIFS(tbl_DCFC[C Montant &amp;#8364; HT],tbl_DCFC[CW ORDER],W$1,tbl_DCFC[BU_Key],"SER")</f>
      </c>
      <c r="X27" s="9">
        <f>SUMIFS(tbl_DCFC[C Montant &amp;#8364; HT],tbl_DCFC[CW ORDER],X$1,tbl_DCFC[BU_Key],"SER")</f>
      </c>
      <c r="Y27" s="9">
        <f>SUMIFS(tbl_DCFC[C Montant &amp;#8364; HT],tbl_DCFC[CW ORDER],Y$1,tbl_DCFC[BU_Key],"SER")</f>
      </c>
      <c r="Z27" s="9">
        <f>SUMIFS(tbl_DCFC[C Montant &amp;#8364; HT],tbl_DCFC[CW ORDER],Z$1,tbl_DCFC[BU_Key],"SER")</f>
      </c>
      <c r="AA27" s="9">
        <f>SUMIFS(tbl_DCFC[C Montant &amp;#8364; HT],tbl_DCFC[CW ORDER],AA$1,tbl_DCFC[BU_Key],"SER")</f>
      </c>
      <c r="AB27" s="9">
        <f>SUMIFS(tbl_DCFC[C Montant &amp;#8364; HT],tbl_DCFC[CW ORDER],AB$1,tbl_DCFC[BU_Key],"SER")</f>
      </c>
      <c r="AC27" s="9">
        <f>SUMIFS(tbl_DCFC[C Montant &amp;#8364; HT],tbl_DCFC[CW ORDER],AC$1,tbl_DCFC[BU_Key],"SER")</f>
      </c>
      <c r="AD27" s="9">
        <f>SUMIFS(tbl_DCFC[C Montant &amp;#8364; HT],tbl_DCFC[CW ORDER],AD$1,tbl_DCFC[BU_Key],"SER")</f>
      </c>
      <c r="AE27" s="9">
        <f>SUMIFS(tbl_DCFC[C Montant &amp;#8364; HT],tbl_DCFC[CW ORDER],AE$1,tbl_DCFC[BU_Key],"SER")</f>
      </c>
      <c r="AF27" s="9">
        <f>SUMIFS(tbl_DCFC[C Montant &amp;#8364; HT],tbl_DCFC[CW ORDER],AF$1,tbl_DCFC[BU_Key],"SER")</f>
      </c>
      <c r="AG27" s="9">
        <f>SUMIFS(tbl_DCFC[C Montant &amp;#8364; HT],tbl_DCFC[CW ORDER],AG$1,tbl_DCFC[BU_Key],"SER")</f>
      </c>
      <c r="AH27" s="9">
        <f>SUMIFS(tbl_DCFC[C Montant &amp;#8364; HT],tbl_DCFC[CW ORDER],AH$1,tbl_DCFC[BU_Key],"SER")</f>
      </c>
      <c r="AI27" s="9">
        <f>SUMIFS(tbl_DCFC[C Montant &amp;#8364; HT],tbl_DCFC[CW ORDER],AI$1,tbl_DCFC[BU_Key],"SER")</f>
      </c>
      <c r="AJ27" s="9">
        <f>SUMIFS(tbl_DCFC[C Montant &amp;#8364; HT],tbl_DCFC[CW ORDER],AJ$1,tbl_DCFC[BU_Key],"SER")</f>
      </c>
      <c r="AK27" s="9">
        <f>SUMIFS(tbl_DCFC[C Montant &amp;#8364; HT],tbl_DCFC[CW ORDER],AK$1,tbl_DCFC[BU_Key],"SER")</f>
      </c>
      <c r="AL27" s="9">
        <f>SUMIFS(tbl_DCFC[C Montant &amp;#8364; HT],tbl_DCFC[CW ORDER],AL$1,tbl_DCFC[BU_Key],"SER")</f>
      </c>
      <c r="AM27" s="9">
        <f>SUMIFS(tbl_DCFC[C Montant &amp;#8364; HT],tbl_DCFC[CW ORDER],AM$1,tbl_DCFC[BU_Key],"SER")</f>
      </c>
      <c r="AN27" s="9">
        <f>SUMIFS(tbl_DCFC[C Montant &amp;#8364; HT],tbl_DCFC[CW ORDER],AN$1,tbl_DCFC[BU_Key],"SER")</f>
      </c>
      <c r="AO27" s="9">
        <f>SUMIFS(tbl_DCFC[C Montant &amp;#8364; HT],tbl_DCFC[CW ORDER],AO$1,tbl_DCFC[BU_Key],"SER")</f>
      </c>
      <c r="AP27" s="9">
        <f>SUMIFS(tbl_DCFC[C Montant &amp;#8364; HT],tbl_DCFC[CW ORDER],AP$1,tbl_DCFC[BU_Key],"SER")</f>
      </c>
      <c r="AQ27" s="9">
        <f>SUMIFS(tbl_DCFC[D Montant &amp;#8364; HT],tbl_DCFC[Date Devis],AQ$1,tbl_DCFC[Spalte10],"SER")</f>
      </c>
      <c r="AR27" s="9">
        <f>SUMIFS(tbl_DCFC[C Montant &amp;#8364; HT],tbl_DCFC[CW ORDER],AR$1,tbl_DCFC[BU_Key],"SER")</f>
      </c>
      <c r="AS27" s="9">
        <f>SUMIFS(tbl_DCFC[C Montant &amp;#8364; HT],tbl_DCFC[CW ORDER],AS$1,tbl_DCFC[BU_Key],"SER")</f>
      </c>
      <c r="AT27" s="9">
        <f>SUMIFS(tbl_DCFC[C Montant &amp;#8364; HT],tbl_DCFC[CW ORDER],AT$1,tbl_DCFC[BU_Key],"SER")</f>
      </c>
      <c r="AU27" s="9">
        <f>SUMIFS(tbl_DCFC[C Montant &amp;#8364; HT],tbl_DCFC[CW ORDER],AU$1,tbl_DCFC[BU_Key],"SER")</f>
      </c>
      <c r="AV27" s="9">
        <f>SUMIFS(tbl_DCFC[C Montant &amp;#8364; HT],tbl_DCFC[CW ORDER],AV$1,tbl_DCFC[BU_Key],"SER")</f>
      </c>
      <c r="AW27" s="9">
        <f>SUMIFS(tbl_DCFC[C Montant &amp;#8364; HT],tbl_DCFC[CW ORDER],AW$1,tbl_DCFC[BU_Key],"SER")</f>
      </c>
      <c r="AX27" s="9">
        <f>SUMIFS(tbl_DCFC[C Montant &amp;#8364; HT],tbl_DCFC[CW ORDER],AX$1,tbl_DCFC[BU_Key],"SER")</f>
      </c>
      <c r="AY27" s="9">
        <f>SUMIFS(tbl_DCFC[C Montant &amp;#8364; HT],tbl_DCFC[CW ORDER],AY$1,tbl_DCFC[BU_Key],"SER")</f>
      </c>
      <c r="AZ27" s="9">
        <f>SUMIFS(tbl_DCFC[C Montant &amp;#8364; HT],tbl_DCFC[CW ORDER],AZ$1,tbl_DCFC[BU_Key],"SER")</f>
      </c>
      <c r="BA27" s="9">
        <f>SUMIFS(tbl_DCFC[C Montant &amp;#8364; HT],tbl_DCFC[CW ORDER],BA$1,tbl_DCFC[BU_Key],"SER")</f>
      </c>
      <c r="BB27" s="9">
        <f>SUMIFS(tbl_DCFC[C Montant &amp;#8364; HT],tbl_DCFC[CW ORDER],BB$1,tbl_DCFC[BU_Key],"SER")</f>
      </c>
      <c r="BC27" s="9"/>
      <c r="BD27" s="3"/>
      <c r="BE27" s="3"/>
    </row>
    <row x14ac:dyDescent="0.25" r="28" customHeight="1" ht="19.5">
      <c r="A28" s="3"/>
      <c r="B28" s="33" t="s">
        <v>458</v>
      </c>
      <c r="C28" s="159">
        <f>SUMIFS(tbl_DCFC[C Montant &amp;#8364; HT],tbl_DCFC[CW ORDER],C$1,tbl_DCFC[BU_Key],"INT")</f>
      </c>
      <c r="D28" s="159">
        <f>SUMIFS(tbl_DCFC[C Montant &amp;#8364; HT],tbl_DCFC[CW ORDER],D$1,tbl_DCFC[BU_Key],"INT")</f>
      </c>
      <c r="E28" s="159">
        <f>SUMIFS(tbl_DCFC[C Montant &amp;#8364; HT],tbl_DCFC[CW ORDER],E$1,tbl_DCFC[BU_Key],"INT")</f>
      </c>
      <c r="F28" s="159">
        <f>SUMIFS(tbl_DCFC[C Montant &amp;#8364; HT],tbl_DCFC[CW ORDER],F$1,tbl_DCFC[BU_Key],"INT")</f>
      </c>
      <c r="G28" s="159">
        <f>SUMIFS(tbl_DCFC[C Montant &amp;#8364; HT],tbl_DCFC[CW ORDER],G$1,tbl_DCFC[BU_Key],"INT")</f>
      </c>
      <c r="H28" s="159">
        <f>SUMIFS(tbl_DCFC[C Montant &amp;#8364; HT],tbl_DCFC[CW ORDER],H$1,tbl_DCFC[BU_Key],"INT")</f>
      </c>
      <c r="I28" s="159">
        <f>SUMIFS(tbl_DCFC[C Montant &amp;#8364; HT],tbl_DCFC[CW ORDER],I$1,tbl_DCFC[BU_Key],"INT")</f>
      </c>
      <c r="J28" s="159">
        <f>SUMIFS(tbl_DCFC[C Montant &amp;#8364; HT],tbl_DCFC[CW ORDER],J$1,tbl_DCFC[BU_Key],"INT")</f>
      </c>
      <c r="K28" s="159">
        <f>SUMIFS(tbl_DCFC[C Montant &amp;#8364; HT],tbl_DCFC[CW ORDER],K$1,tbl_DCFC[BU_Key],"INT")</f>
      </c>
      <c r="L28" s="159">
        <f>SUMIFS(tbl_DCFC[C Montant &amp;#8364; HT],tbl_DCFC[CW ORDER],L$1,tbl_DCFC[BU_Key],"INT")</f>
      </c>
      <c r="M28" s="159">
        <f>SUMIFS(tbl_DCFC[C Montant &amp;#8364; HT],tbl_DCFC[CW ORDER],M$1,tbl_DCFC[BU_Key],"INT")</f>
      </c>
      <c r="N28" s="159">
        <f>SUMIFS(tbl_DCFC[C Montant &amp;#8364; HT],tbl_DCFC[CW ORDER],N$1,tbl_DCFC[BU_Key],"INT")</f>
      </c>
      <c r="O28" s="159">
        <f>SUMIFS(tbl_DCFC[C Montant &amp;#8364; HT],tbl_DCFC[CW ORDER],O$1,tbl_DCFC[BU_Key],"INT")</f>
      </c>
      <c r="P28" s="159">
        <f>SUMIFS(tbl_DCFC[C Montant &amp;#8364; HT],tbl_DCFC[CW ORDER],P$1,tbl_DCFC[BU_Key],"INT")</f>
      </c>
      <c r="Q28" s="159">
        <f>SUMIFS(tbl_DCFC[C Montant &amp;#8364; HT],tbl_DCFC[CW ORDER],Q$1,tbl_DCFC[BU_Key],"INT")</f>
      </c>
      <c r="R28" s="159">
        <f>SUMIFS(tbl_DCFC[C Montant &amp;#8364; HT],tbl_DCFC[CW ORDER],R$1,tbl_DCFC[BU_Key],"INT")</f>
      </c>
      <c r="S28" s="159">
        <f>SUMIFS(tbl_DCFC[C Montant &amp;#8364; HT],tbl_DCFC[CW ORDER],S$1,tbl_DCFC[BU_Key],"INT")</f>
      </c>
      <c r="T28" s="159">
        <f>SUMIFS(tbl_DCFC[C Montant &amp;#8364; HT],tbl_DCFC[CW ORDER],T$1,tbl_DCFC[BU_Key],"INT")</f>
      </c>
      <c r="U28" s="159">
        <f>SUMIFS(tbl_DCFC[C Montant &amp;#8364; HT],tbl_DCFC[CW ORDER],U$1,tbl_DCFC[BU_Key],"INT")</f>
      </c>
      <c r="V28" s="159">
        <f>SUMIFS(tbl_DCFC[C Montant &amp;#8364; HT],tbl_DCFC[CW ORDER],V$1,tbl_DCFC[BU_Key],"INT")</f>
      </c>
      <c r="W28" s="159">
        <f>SUMIFS(tbl_DCFC[C Montant &amp;#8364; HT],tbl_DCFC[CW ORDER],W$1,tbl_DCFC[BU_Key],"INT")</f>
      </c>
      <c r="X28" s="159">
        <f>SUMIFS(tbl_DCFC[C Montant &amp;#8364; HT],tbl_DCFC[CW ORDER],X$1,tbl_DCFC[BU_Key],"INT")</f>
      </c>
      <c r="Y28" s="159">
        <f>SUMIFS(tbl_DCFC[C Montant &amp;#8364; HT],tbl_DCFC[CW ORDER],Y$1,tbl_DCFC[BU_Key],"INT")</f>
      </c>
      <c r="Z28" s="159">
        <f>SUMIFS(tbl_DCFC[C Montant &amp;#8364; HT],tbl_DCFC[CW ORDER],Z$1,tbl_DCFC[BU_Key],"INT")</f>
      </c>
      <c r="AA28" s="159">
        <f>SUMIFS(tbl_DCFC[C Montant &amp;#8364; HT],tbl_DCFC[CW ORDER],AA$1,tbl_DCFC[BU_Key],"INT")</f>
      </c>
      <c r="AB28" s="159">
        <f>SUMIFS(tbl_DCFC[C Montant &amp;#8364; HT],tbl_DCFC[CW ORDER],AB$1,tbl_DCFC[BU_Key],"INT")</f>
      </c>
      <c r="AC28" s="159">
        <f>SUMIFS(tbl_DCFC[C Montant &amp;#8364; HT],tbl_DCFC[CW ORDER],AC$1,tbl_DCFC[BU_Key],"INT")</f>
      </c>
      <c r="AD28" s="159">
        <f>SUMIFS(tbl_DCFC[C Montant &amp;#8364; HT],tbl_DCFC[CW ORDER],AD$1,tbl_DCFC[BU_Key],"INT")</f>
      </c>
      <c r="AE28" s="159">
        <f>SUMIFS(tbl_DCFC[C Montant &amp;#8364; HT],tbl_DCFC[CW ORDER],AE$1,tbl_DCFC[BU_Key],"INT")</f>
      </c>
      <c r="AF28" s="159">
        <f>SUMIFS(tbl_DCFC[C Montant &amp;#8364; HT],tbl_DCFC[CW ORDER],AF$1,tbl_DCFC[BU_Key],"INT")</f>
      </c>
      <c r="AG28" s="159">
        <f>SUMIFS(tbl_DCFC[C Montant &amp;#8364; HT],tbl_DCFC[CW ORDER],AG$1,tbl_DCFC[BU_Key],"INT")</f>
      </c>
      <c r="AH28" s="159">
        <f>SUMIFS(tbl_DCFC[C Montant &amp;#8364; HT],tbl_DCFC[CW ORDER],AH$1,tbl_DCFC[BU_Key],"INT")</f>
      </c>
      <c r="AI28" s="159">
        <f>SUMIFS(tbl_DCFC[C Montant &amp;#8364; HT],tbl_DCFC[CW ORDER],AI$1,tbl_DCFC[BU_Key],"INT")</f>
      </c>
      <c r="AJ28" s="159">
        <f>SUMIFS(tbl_DCFC[C Montant &amp;#8364; HT],tbl_DCFC[CW ORDER],AJ$1,tbl_DCFC[BU_Key],"INT")</f>
      </c>
      <c r="AK28" s="159">
        <f>SUMIFS(tbl_DCFC[C Montant &amp;#8364; HT],tbl_DCFC[CW ORDER],AK$1,tbl_DCFC[BU_Key],"INT")</f>
      </c>
      <c r="AL28" s="159">
        <f>SUMIFS(tbl_DCFC[C Montant &amp;#8364; HT],tbl_DCFC[CW ORDER],AL$1,tbl_DCFC[BU_Key],"INT")</f>
      </c>
      <c r="AM28" s="159">
        <f>SUMIFS(tbl_DCFC[C Montant &amp;#8364; HT],tbl_DCFC[CW ORDER],AM$1,tbl_DCFC[BU_Key],"INT")</f>
      </c>
      <c r="AN28" s="159">
        <f>SUMIFS(tbl_DCFC[C Montant &amp;#8364; HT],tbl_DCFC[CW ORDER],AN$1,tbl_DCFC[BU_Key],"INT")</f>
      </c>
      <c r="AO28" s="159">
        <f>SUMIFS(tbl_DCFC[C Montant &amp;#8364; HT],tbl_DCFC[CW ORDER],AO$1,tbl_DCFC[BU_Key],"INT")</f>
      </c>
      <c r="AP28" s="159">
        <f>SUMIFS(tbl_DCFC[C Montant &amp;#8364; HT],tbl_DCFC[CW ORDER],AP$1,tbl_DCFC[BU_Key],"INT")</f>
      </c>
      <c r="AQ28" s="159">
        <f>SUMIFS(tbl_DCFC[C Montant &amp;#8364; HT],tbl_DCFC[CW ORDER],AQ$1,tbl_DCFC[BU_Key],"INT")</f>
      </c>
      <c r="AR28" s="159">
        <f>SUMIFS(tbl_DCFC[C Montant &amp;#8364; HT],tbl_DCFC[CW ORDER],AR$1,tbl_DCFC[BU_Key],"INT")</f>
      </c>
      <c r="AS28" s="159">
        <f>SUMIFS(tbl_DCFC[C Montant &amp;#8364; HT],tbl_DCFC[CW ORDER],AS$1,tbl_DCFC[BU_Key],"INT")</f>
      </c>
      <c r="AT28" s="159">
        <f>SUMIFS(tbl_DCFC[C Montant &amp;#8364; HT],tbl_DCFC[CW ORDER],AT$1,tbl_DCFC[BU_Key],"INT")</f>
      </c>
      <c r="AU28" s="159">
        <f>SUMIFS(tbl_DCFC[C Montant &amp;#8364; HT],tbl_DCFC[CW ORDER],AU$1,tbl_DCFC[BU_Key],"INT")</f>
      </c>
      <c r="AV28" s="159">
        <f>SUMIFS(tbl_DCFC[C Montant &amp;#8364; HT],tbl_DCFC[CW ORDER],AV$1,tbl_DCFC[BU_Key],"INT")</f>
      </c>
      <c r="AW28" s="159">
        <f>SUMIFS(tbl_DCFC[C Montant &amp;#8364; HT],tbl_DCFC[CW ORDER],AW$1,tbl_DCFC[BU_Key],"INT")</f>
      </c>
      <c r="AX28" s="159">
        <f>SUMIFS(tbl_DCFC[C Montant &amp;#8364; HT],tbl_DCFC[CW ORDER],AX$1,tbl_DCFC[BU_Key],"INT")</f>
      </c>
      <c r="AY28" s="159">
        <f>SUMIFS(tbl_DCFC[C Montant &amp;#8364; HT],tbl_DCFC[CW ORDER],AY$1,tbl_DCFC[BU_Key],"INT")</f>
      </c>
      <c r="AZ28" s="159">
        <f>SUMIFS(tbl_DCFC[C Montant &amp;#8364; HT],tbl_DCFC[CW ORDER],AZ$1,tbl_DCFC[BU_Key],"INT")</f>
      </c>
      <c r="BA28" s="159">
        <f>SUMIFS(tbl_DCFC[C Montant &amp;#8364; HT],tbl_DCFC[CW ORDER],BA$1,tbl_DCFC[BU_Key],"INT")</f>
      </c>
      <c r="BB28" s="159">
        <f>SUMIFS(tbl_DCFC[C Montant &amp;#8364; HT],tbl_DCFC[CW ORDER],BB$1,tbl_DCFC[BU_Key],"INT")</f>
      </c>
      <c r="BC28" s="3"/>
      <c r="BD28" s="3"/>
      <c r="BE28" s="3"/>
    </row>
    <row x14ac:dyDescent="0.25" r="29" customHeight="1" ht="19.5">
      <c r="A29" s="3"/>
      <c r="B29" s="33" t="s">
        <v>459</v>
      </c>
      <c r="C29" s="239">
        <f>C25</f>
      </c>
      <c r="D29" s="239">
        <f>C29+D25</f>
      </c>
      <c r="E29" s="239">
        <f>D29+E25</f>
      </c>
      <c r="F29" s="239">
        <f>E29+F25</f>
      </c>
      <c r="G29" s="239">
        <f>F29+G25</f>
      </c>
      <c r="H29" s="239">
        <f>G29+H25</f>
      </c>
      <c r="I29" s="239">
        <f>H29+I25</f>
      </c>
      <c r="J29" s="239">
        <f>I29+J25</f>
      </c>
      <c r="K29" s="239">
        <f>J29+K25</f>
      </c>
      <c r="L29" s="239">
        <f>K29+L25</f>
      </c>
      <c r="M29" s="239">
        <f>L29+M25</f>
      </c>
      <c r="N29" s="239">
        <f>M29+N25</f>
      </c>
      <c r="O29" s="239">
        <f>N29+O25</f>
      </c>
      <c r="P29" s="239">
        <f>O29+P25</f>
      </c>
      <c r="Q29" s="239">
        <f>P29+Q25</f>
      </c>
      <c r="R29" s="239">
        <f>Q29+R25</f>
      </c>
      <c r="S29" s="239">
        <f>R29+S25</f>
      </c>
      <c r="T29" s="239">
        <f>S29+T25</f>
      </c>
      <c r="U29" s="239">
        <f>T29+U25</f>
      </c>
      <c r="V29" s="239">
        <f>U29+V25</f>
      </c>
      <c r="W29" s="239">
        <f>V29+W25</f>
      </c>
      <c r="X29" s="239">
        <f>W29+X25</f>
      </c>
      <c r="Y29" s="239">
        <f>X29+Y25</f>
      </c>
      <c r="Z29" s="239">
        <f>Y29+Z25</f>
      </c>
      <c r="AA29" s="239">
        <f>Z29+AA25</f>
      </c>
      <c r="AB29" s="239">
        <f>AA29+AB25</f>
      </c>
      <c r="AC29" s="239">
        <f>AB29+AC25</f>
      </c>
      <c r="AD29" s="239">
        <f>AC29+AD25</f>
      </c>
      <c r="AE29" s="239">
        <f>AD29+AE25</f>
      </c>
      <c r="AF29" s="239">
        <f>AE29+AF25</f>
      </c>
      <c r="AG29" s="239">
        <f>AF29+AG25</f>
      </c>
      <c r="AH29" s="239">
        <f>AG29+AH25</f>
      </c>
      <c r="AI29" s="239">
        <f>AH29+AI25</f>
      </c>
      <c r="AJ29" s="239">
        <f>AI29+AJ25</f>
      </c>
      <c r="AK29" s="239">
        <f>AJ29+AK25</f>
      </c>
      <c r="AL29" s="239">
        <f>AK29+AL25</f>
      </c>
      <c r="AM29" s="239">
        <f>AL29+AM25</f>
      </c>
      <c r="AN29" s="239">
        <f>AM29+AN25</f>
      </c>
      <c r="AO29" s="239">
        <f>AN29+AO25</f>
      </c>
      <c r="AP29" s="239">
        <f>AO29+AP25</f>
      </c>
      <c r="AQ29" s="239">
        <f>AP29+AQ25</f>
      </c>
      <c r="AR29" s="239">
        <f>AQ29+AR25</f>
      </c>
      <c r="AS29" s="239">
        <f>AR29+AS25</f>
      </c>
      <c r="AT29" s="239">
        <f>AS29+AT25</f>
      </c>
      <c r="AU29" s="239">
        <f>AT29+AU25</f>
      </c>
      <c r="AV29" s="239">
        <f>AU29+AV25</f>
      </c>
      <c r="AW29" s="239">
        <f>AV29+AW25</f>
      </c>
      <c r="AX29" s="239">
        <f>AW29+AX25</f>
      </c>
      <c r="AY29" s="239">
        <f>AX29+AY25</f>
      </c>
      <c r="AZ29" s="239">
        <f>AY29+AZ25</f>
      </c>
      <c r="BA29" s="239">
        <f>AZ29+BA25</f>
      </c>
      <c r="BB29" s="239">
        <f>BA29+BB25</f>
      </c>
      <c r="BC29" s="3"/>
      <c r="BD29" s="3"/>
      <c r="BE29" s="3"/>
    </row>
    <row x14ac:dyDescent="0.25" r="30" customHeight="1" ht="19.5">
      <c r="A30" s="3"/>
      <c r="B30" s="33" t="s">
        <v>460</v>
      </c>
      <c r="C30" s="9">
        <f>C26</f>
      </c>
      <c r="D30" s="9">
        <f>C30+D26</f>
      </c>
      <c r="E30" s="9">
        <f>D30+E26</f>
      </c>
      <c r="F30" s="9">
        <f>E30+F26</f>
      </c>
      <c r="G30" s="9">
        <f>F30+G26</f>
      </c>
      <c r="H30" s="9">
        <f>G30+H26</f>
      </c>
      <c r="I30" s="9">
        <f>H30+I26</f>
      </c>
      <c r="J30" s="9">
        <f>I30+J26</f>
      </c>
      <c r="K30" s="9">
        <f>J30+K26</f>
      </c>
      <c r="L30" s="9">
        <f>K30+L26</f>
      </c>
      <c r="M30" s="9">
        <f>L30+M26</f>
      </c>
      <c r="N30" s="9">
        <f>M30+N26</f>
      </c>
      <c r="O30" s="9">
        <f>N30+O26</f>
      </c>
      <c r="P30" s="9">
        <f>O30+P26</f>
      </c>
      <c r="Q30" s="9">
        <f>P30+Q26</f>
      </c>
      <c r="R30" s="9">
        <f>Q30+R26</f>
      </c>
      <c r="S30" s="9">
        <f>R30+S26</f>
      </c>
      <c r="T30" s="9">
        <f>S30+T26</f>
      </c>
      <c r="U30" s="9">
        <f>T30+U26</f>
      </c>
      <c r="V30" s="9">
        <f>U30+V26</f>
      </c>
      <c r="W30" s="9">
        <f>V30+W26</f>
      </c>
      <c r="X30" s="9">
        <f>W30+X26</f>
      </c>
      <c r="Y30" s="9">
        <f>X30+Y26</f>
      </c>
      <c r="Z30" s="9">
        <f>Y30+Z26</f>
      </c>
      <c r="AA30" s="9">
        <f>Z30+AA26</f>
      </c>
      <c r="AB30" s="9">
        <f>AA30+AB26</f>
      </c>
      <c r="AC30" s="9">
        <f>AB30+AC26</f>
      </c>
      <c r="AD30" s="9">
        <f>AC30+AD26</f>
      </c>
      <c r="AE30" s="9">
        <f>AD30+AE26</f>
      </c>
      <c r="AF30" s="9">
        <f>AE30+AF26</f>
      </c>
      <c r="AG30" s="9">
        <f>AF30+AG26</f>
      </c>
      <c r="AH30" s="9">
        <f>AG30+AH26</f>
      </c>
      <c r="AI30" s="9">
        <f>AH30+AI26</f>
      </c>
      <c r="AJ30" s="9">
        <f>AI30+AJ26</f>
      </c>
      <c r="AK30" s="9">
        <f>AJ30+AK26</f>
      </c>
      <c r="AL30" s="9">
        <f>AK30+AL26</f>
      </c>
      <c r="AM30" s="9">
        <f>AL30+AM26</f>
      </c>
      <c r="AN30" s="9">
        <f>AM30+AN26</f>
      </c>
      <c r="AO30" s="9">
        <f>AN30+AO26</f>
      </c>
      <c r="AP30" s="9">
        <f>AO30+AP26</f>
      </c>
      <c r="AQ30" s="9">
        <f>AP30+AQ26</f>
      </c>
      <c r="AR30" s="9">
        <f>AQ30+AR26</f>
      </c>
      <c r="AS30" s="9">
        <f>AR30+AS26</f>
      </c>
      <c r="AT30" s="9">
        <f>AS30+AT26</f>
      </c>
      <c r="AU30" s="9">
        <f>AT30+AU26</f>
      </c>
      <c r="AV30" s="9">
        <f>AU30+AV26</f>
      </c>
      <c r="AW30" s="9">
        <f>AV30+AW26</f>
      </c>
      <c r="AX30" s="9">
        <f>AW30+AX26</f>
      </c>
      <c r="AY30" s="9">
        <f>AX30+AY26</f>
      </c>
      <c r="AZ30" s="9">
        <f>AY30+AZ26</f>
      </c>
      <c r="BA30" s="9">
        <f>AZ30+BA26</f>
      </c>
      <c r="BB30" s="9">
        <f>BA30+BB26</f>
      </c>
      <c r="BC30" s="3"/>
      <c r="BD30" s="3"/>
      <c r="BE30" s="3"/>
    </row>
    <row x14ac:dyDescent="0.25" r="31" customHeight="1" ht="19.5">
      <c r="A31" s="3"/>
      <c r="B31" s="33" t="s">
        <v>461</v>
      </c>
      <c r="C31" s="9">
        <f>C27</f>
      </c>
      <c r="D31" s="9">
        <f>C31+D27</f>
      </c>
      <c r="E31" s="9">
        <f>D31+E27</f>
      </c>
      <c r="F31" s="9">
        <f>E31+F27</f>
      </c>
      <c r="G31" s="9">
        <f>F31+G27</f>
      </c>
      <c r="H31" s="9">
        <f>G31+H27</f>
      </c>
      <c r="I31" s="9">
        <f>H31+I27</f>
      </c>
      <c r="J31" s="9">
        <f>I31+J27</f>
      </c>
      <c r="K31" s="9">
        <f>J31+K27</f>
      </c>
      <c r="L31" s="9">
        <f>K31+L27</f>
      </c>
      <c r="M31" s="9">
        <f>L31+M27</f>
      </c>
      <c r="N31" s="9">
        <f>M31+N27</f>
      </c>
      <c r="O31" s="9">
        <f>N31+O27</f>
      </c>
      <c r="P31" s="9">
        <f>O31+P27</f>
      </c>
      <c r="Q31" s="9">
        <f>P31+Q27</f>
      </c>
      <c r="R31" s="9">
        <f>Q31+R27</f>
      </c>
      <c r="S31" s="9">
        <f>R31+S27</f>
      </c>
      <c r="T31" s="9">
        <f>S31+T27</f>
      </c>
      <c r="U31" s="9">
        <f>T31+U27</f>
      </c>
      <c r="V31" s="9">
        <f>U31+V27</f>
      </c>
      <c r="W31" s="9">
        <f>V31+W27</f>
      </c>
      <c r="X31" s="9">
        <f>W31+X27</f>
      </c>
      <c r="Y31" s="9">
        <f>X31+Y27</f>
      </c>
      <c r="Z31" s="9">
        <f>Y31+Z27</f>
      </c>
      <c r="AA31" s="9">
        <f>Z31+AA27</f>
      </c>
      <c r="AB31" s="9">
        <f>AA31+AB27</f>
      </c>
      <c r="AC31" s="9">
        <f>AB31+AC27</f>
      </c>
      <c r="AD31" s="9">
        <f>AC31+AD27</f>
      </c>
      <c r="AE31" s="9">
        <f>AD31+AE27</f>
      </c>
      <c r="AF31" s="9">
        <f>AE31+AF27</f>
      </c>
      <c r="AG31" s="9">
        <f>AF31+AG27</f>
      </c>
      <c r="AH31" s="9">
        <f>AG31+AH27</f>
      </c>
      <c r="AI31" s="9">
        <f>AH31+AI27</f>
      </c>
      <c r="AJ31" s="9">
        <f>AI31+AJ27</f>
      </c>
      <c r="AK31" s="9">
        <f>AJ31+AK27</f>
      </c>
      <c r="AL31" s="9">
        <f>AK31+AL27</f>
      </c>
      <c r="AM31" s="9">
        <f>AL31+AM27</f>
      </c>
      <c r="AN31" s="9">
        <f>AM31+AN27</f>
      </c>
      <c r="AO31" s="9">
        <f>AN31+AO27</f>
      </c>
      <c r="AP31" s="9">
        <f>AO31+AP27</f>
      </c>
      <c r="AQ31" s="9">
        <f>AP31+AQ27</f>
      </c>
      <c r="AR31" s="9">
        <f>AQ31+AR27</f>
      </c>
      <c r="AS31" s="9">
        <f>AR31+AS27</f>
      </c>
      <c r="AT31" s="9">
        <f>AS31+AT27</f>
      </c>
      <c r="AU31" s="9">
        <f>AT31+AU27</f>
      </c>
      <c r="AV31" s="9">
        <f>AU31+AV27</f>
      </c>
      <c r="AW31" s="9">
        <f>AV31+AW27</f>
      </c>
      <c r="AX31" s="9">
        <f>AW31+AX27</f>
      </c>
      <c r="AY31" s="9">
        <f>AX31+AY27</f>
      </c>
      <c r="AZ31" s="9">
        <f>AY31+AZ27</f>
      </c>
      <c r="BA31" s="9">
        <f>AZ31+BA27</f>
      </c>
      <c r="BB31" s="9">
        <f>BA31+BB27</f>
      </c>
      <c r="BC31" s="3"/>
      <c r="BD31" s="3"/>
      <c r="BE31" s="3"/>
    </row>
    <row x14ac:dyDescent="0.25" r="32" customHeight="1" ht="19.5">
      <c r="A32" s="3"/>
      <c r="B32" s="33" t="s">
        <v>462</v>
      </c>
      <c r="C32" s="9">
        <f>C28</f>
      </c>
      <c r="D32" s="9">
        <f>C32+D28</f>
      </c>
      <c r="E32" s="9">
        <f>D32+E28</f>
      </c>
      <c r="F32" s="9">
        <f>E32+F28</f>
      </c>
      <c r="G32" s="9">
        <f>F32+G28</f>
      </c>
      <c r="H32" s="9">
        <f>G32+H28</f>
      </c>
      <c r="I32" s="9">
        <f>H32+I28</f>
      </c>
      <c r="J32" s="9">
        <f>I32+J28</f>
      </c>
      <c r="K32" s="9">
        <f>J32+K28</f>
      </c>
      <c r="L32" s="9">
        <f>K32+L28</f>
      </c>
      <c r="M32" s="9">
        <f>L32+M28</f>
      </c>
      <c r="N32" s="9">
        <f>M32+N28</f>
      </c>
      <c r="O32" s="9">
        <f>N32+O28</f>
      </c>
      <c r="P32" s="9">
        <f>O32+P28</f>
      </c>
      <c r="Q32" s="9">
        <f>P32+Q28</f>
      </c>
      <c r="R32" s="9">
        <f>Q32+R28</f>
      </c>
      <c r="S32" s="9">
        <f>R32+S28</f>
      </c>
      <c r="T32" s="9">
        <f>S32+T28</f>
      </c>
      <c r="U32" s="9">
        <f>T32+U28</f>
      </c>
      <c r="V32" s="9">
        <f>U32+V28</f>
      </c>
      <c r="W32" s="9">
        <f>V32+W28</f>
      </c>
      <c r="X32" s="9">
        <f>W32+X28</f>
      </c>
      <c r="Y32" s="9">
        <f>X32+Y28</f>
      </c>
      <c r="Z32" s="9">
        <f>Y32+Z28</f>
      </c>
      <c r="AA32" s="9">
        <f>Z32+AA28</f>
      </c>
      <c r="AB32" s="9">
        <f>AA32+AB28</f>
      </c>
      <c r="AC32" s="9">
        <f>AB32+AC28</f>
      </c>
      <c r="AD32" s="9">
        <f>AC32+AD28</f>
      </c>
      <c r="AE32" s="9">
        <f>AD32+AE28</f>
      </c>
      <c r="AF32" s="9">
        <f>AE32+AF28</f>
      </c>
      <c r="AG32" s="9">
        <f>AF32+AG28</f>
      </c>
      <c r="AH32" s="9">
        <f>AG32+AH28</f>
      </c>
      <c r="AI32" s="9">
        <f>AH32+AI28</f>
      </c>
      <c r="AJ32" s="9">
        <f>AI32+AJ28</f>
      </c>
      <c r="AK32" s="9">
        <f>AJ32+AK28</f>
      </c>
      <c r="AL32" s="9">
        <f>AK32+AL28</f>
      </c>
      <c r="AM32" s="9">
        <f>AL32+AM28</f>
      </c>
      <c r="AN32" s="9">
        <f>AM32+AN28</f>
      </c>
      <c r="AO32" s="9">
        <f>AN32+AO28</f>
      </c>
      <c r="AP32" s="9">
        <f>AO32+AP28</f>
      </c>
      <c r="AQ32" s="9">
        <f>AP32+AQ28</f>
      </c>
      <c r="AR32" s="9">
        <f>AQ32+AR28</f>
      </c>
      <c r="AS32" s="9">
        <f>AR32+AS28</f>
      </c>
      <c r="AT32" s="9">
        <f>AS32+AT28</f>
      </c>
      <c r="AU32" s="9">
        <f>AT32+AU28</f>
      </c>
      <c r="AV32" s="9">
        <f>AU32+AV28</f>
      </c>
      <c r="AW32" s="9">
        <f>AV32+AW28</f>
      </c>
      <c r="AX32" s="9">
        <f>AW32+AX28</f>
      </c>
      <c r="AY32" s="9">
        <f>AX32+AY28</f>
      </c>
      <c r="AZ32" s="9">
        <f>AY32+AZ28</f>
      </c>
      <c r="BA32" s="9">
        <f>AZ32+BA28</f>
      </c>
      <c r="BB32" s="9">
        <f>BA32+BB28</f>
      </c>
      <c r="BC32" s="3"/>
      <c r="BD32" s="3"/>
      <c r="BE32" s="3"/>
    </row>
    <row x14ac:dyDescent="0.25" r="33" customHeight="1" ht="19.5">
      <c r="A33" s="3"/>
      <c r="B33" s="3"/>
      <c r="C33" s="332"/>
      <c r="D33" s="8"/>
      <c r="E33" s="8"/>
      <c r="F33" s="8"/>
      <c r="G33" s="332"/>
      <c r="H33" s="332"/>
      <c r="I33" s="8"/>
      <c r="J33" s="8"/>
      <c r="K33" s="8"/>
      <c r="L33" s="332"/>
      <c r="M33" s="332"/>
      <c r="N33" s="332"/>
      <c r="O33" s="332"/>
      <c r="P33" s="332"/>
      <c r="Q33" s="332"/>
      <c r="R33" s="332"/>
      <c r="S33" s="332"/>
      <c r="T33" s="332"/>
      <c r="U33" s="332"/>
      <c r="V33" s="332"/>
      <c r="W33" s="332"/>
      <c r="X33" s="332"/>
      <c r="Y33" s="332"/>
      <c r="Z33" s="332"/>
      <c r="AA33" s="332"/>
      <c r="AB33" s="332"/>
      <c r="AC33" s="332"/>
      <c r="AD33" s="332"/>
      <c r="AE33" s="332"/>
      <c r="AF33" s="332"/>
      <c r="AG33" s="332"/>
      <c r="AH33" s="332"/>
      <c r="AI33" s="332"/>
      <c r="AJ33" s="332"/>
      <c r="AK33" s="332"/>
      <c r="AL33" s="332"/>
      <c r="AM33" s="332"/>
      <c r="AN33" s="332"/>
      <c r="AO33" s="332"/>
      <c r="AP33" s="332"/>
      <c r="AQ33" s="332"/>
      <c r="AR33" s="332"/>
      <c r="AS33" s="332"/>
      <c r="AT33" s="332"/>
      <c r="AU33" s="332"/>
      <c r="AV33" s="332"/>
      <c r="AW33" s="332"/>
      <c r="AX33" s="332"/>
      <c r="AY33" s="332"/>
      <c r="AZ33" s="332"/>
      <c r="BA33" s="332"/>
      <c r="BB33" s="332"/>
      <c r="BC33" s="3"/>
      <c r="BD33" s="3"/>
      <c r="BE33" s="3"/>
    </row>
    <row x14ac:dyDescent="0.25" r="34" customHeight="1" ht="19.5">
      <c r="A34" s="3"/>
      <c r="B34" s="3"/>
      <c r="C34" s="332"/>
      <c r="D34" s="8"/>
      <c r="E34" s="8"/>
      <c r="F34" s="8"/>
      <c r="G34" s="332"/>
      <c r="H34" s="332"/>
      <c r="I34" s="8"/>
      <c r="J34" s="8"/>
      <c r="K34" s="8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32"/>
      <c r="AB34" s="332"/>
      <c r="AC34" s="332"/>
      <c r="AD34" s="332"/>
      <c r="AE34" s="332"/>
      <c r="AF34" s="332"/>
      <c r="AG34" s="332"/>
      <c r="AH34" s="332"/>
      <c r="AI34" s="332"/>
      <c r="AJ34" s="332"/>
      <c r="AK34" s="332"/>
      <c r="AL34" s="332"/>
      <c r="AM34" s="332"/>
      <c r="AN34" s="332"/>
      <c r="AO34" s="332"/>
      <c r="AP34" s="332"/>
      <c r="AQ34" s="332"/>
      <c r="AR34" s="332"/>
      <c r="AS34" s="332"/>
      <c r="AT34" s="332"/>
      <c r="AU34" s="332"/>
      <c r="AV34" s="332"/>
      <c r="AW34" s="332"/>
      <c r="AX34" s="332"/>
      <c r="AY34" s="332"/>
      <c r="AZ34" s="332"/>
      <c r="BA34" s="332"/>
      <c r="BB34" s="332"/>
      <c r="BC34" s="3"/>
      <c r="BD34" s="3"/>
      <c r="BE34" s="3"/>
    </row>
    <row x14ac:dyDescent="0.25" r="35" customHeight="1" ht="19.5">
      <c r="A35" s="3"/>
      <c r="B35" s="3"/>
      <c r="C35" s="332"/>
      <c r="D35" s="8"/>
      <c r="E35" s="8"/>
      <c r="F35" s="8"/>
      <c r="G35" s="332"/>
      <c r="H35" s="332"/>
      <c r="I35" s="8"/>
      <c r="J35" s="8"/>
      <c r="K35" s="8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32"/>
      <c r="AB35" s="332"/>
      <c r="AC35" s="332"/>
      <c r="AD35" s="332"/>
      <c r="AE35" s="332"/>
      <c r="AF35" s="332"/>
      <c r="AG35" s="332"/>
      <c r="AH35" s="332"/>
      <c r="AI35" s="332"/>
      <c r="AJ35" s="332"/>
      <c r="AK35" s="332"/>
      <c r="AL35" s="332"/>
      <c r="AM35" s="332"/>
      <c r="AN35" s="332"/>
      <c r="AO35" s="332"/>
      <c r="AP35" s="332"/>
      <c r="AQ35" s="332"/>
      <c r="AR35" s="332"/>
      <c r="AS35" s="332"/>
      <c r="AT35" s="332"/>
      <c r="AU35" s="332"/>
      <c r="AV35" s="332"/>
      <c r="AW35" s="332"/>
      <c r="AX35" s="332"/>
      <c r="AY35" s="332"/>
      <c r="AZ35" s="332"/>
      <c r="BA35" s="332"/>
      <c r="BB35" s="332"/>
      <c r="BC35" s="3"/>
      <c r="BD35" s="3"/>
      <c r="BE35" s="3"/>
    </row>
    <row x14ac:dyDescent="0.25" r="36" customHeight="1" ht="19.5">
      <c r="A36" s="3"/>
      <c r="B36" s="33" t="s">
        <v>463</v>
      </c>
      <c r="C36" s="9">
        <f>SUMIFS(tbl_DCFC[F Montant HT],tbl_DCFC[CW REV],C$1,tbl_DCFC[BU_Key],"GSE")</f>
      </c>
      <c r="D36" s="9">
        <f>SUMIFS(tbl_DCFC[F Montant HT],tbl_DCFC[CW REV],D$1,tbl_DCFC[BU_Key],"GSE")</f>
      </c>
      <c r="E36" s="9">
        <f>SUMIFS(tbl_DCFC[F Montant HT],tbl_DCFC[CW REV],E$1,tbl_DCFC[BU_Key],"GSE")</f>
      </c>
      <c r="F36" s="9">
        <f>SUMIFS(tbl_DCFC[F Montant HT],tbl_DCFC[CW REV],F$1,tbl_DCFC[BU_Key],"GSE")</f>
      </c>
      <c r="G36" s="9">
        <f>SUMIFS(tbl_DCFC[F Montant HT],tbl_DCFC[CW REV],G$1,tbl_DCFC[BU_Key],"GSE")</f>
      </c>
      <c r="H36" s="9">
        <f>SUMIFS(tbl_DCFC[F Montant HT],tbl_DCFC[CW REV],H$1,tbl_DCFC[BU_Key],"GSE")</f>
      </c>
      <c r="I36" s="9">
        <f>SUMIFS(tbl_DCFC[F Montant HT],tbl_DCFC[CW REV],I$1,tbl_DCFC[BU_Key],"GSE")</f>
      </c>
      <c r="J36" s="9">
        <f>SUMIFS(tbl_DCFC[F Montant HT],tbl_DCFC[CW REV],J$1,tbl_DCFC[BU_Key],"GSE")</f>
      </c>
      <c r="K36" s="9">
        <f>SUMIFS(tbl_DCFC[F Montant HT],tbl_DCFC[CW REV],K$1,tbl_DCFC[BU_Key],"GSE")</f>
      </c>
      <c r="L36" s="9">
        <f>SUMIFS(tbl_DCFC[F Montant HT],tbl_DCFC[CW REV],L$1,tbl_DCFC[BU_Key],"GSE")</f>
      </c>
      <c r="M36" s="9">
        <f>SUMIFS(tbl_DCFC[F Montant HT],tbl_DCFC[CW REV],M$1,tbl_DCFC[BU_Key],"GSE")</f>
      </c>
      <c r="N36" s="9">
        <f>SUMIFS(tbl_DCFC[F Montant HT],tbl_DCFC[CW REV],N$1,tbl_DCFC[BU_Key],"GSE")</f>
      </c>
      <c r="O36" s="9">
        <f>SUMIFS(tbl_DCFC[F Montant HT],tbl_DCFC[CW REV],O$1,tbl_DCFC[BU_Key],"GSE")</f>
      </c>
      <c r="P36" s="9">
        <f>SUMIFS(tbl_DCFC[F Montant HT],tbl_DCFC[CW REV],P$1,tbl_DCFC[BU_Key],"GSE")</f>
      </c>
      <c r="Q36" s="9">
        <f>SUMIFS(tbl_DCFC[F Montant HT],tbl_DCFC[CW REV],Q$1,tbl_DCFC[BU_Key],"GSE")</f>
      </c>
      <c r="R36" s="9">
        <f>SUMIFS(tbl_DCFC[F Montant HT],tbl_DCFC[CW REV],R$1,tbl_DCFC[BU_Key],"GSE")</f>
      </c>
      <c r="S36" s="9">
        <f>SUMIFS(tbl_DCFC[F Montant HT],tbl_DCFC[CW REV],S$1,tbl_DCFC[BU_Key],"GSE")</f>
      </c>
      <c r="T36" s="9">
        <f>SUMIFS(tbl_DCFC[F Montant HT],tbl_DCFC[CW REV],T$1,tbl_DCFC[BU_Key],"GSE")</f>
      </c>
      <c r="U36" s="9">
        <f>SUMIFS(tbl_DCFC[F Montant HT],tbl_DCFC[CW REV],U$1,tbl_DCFC[BU_Key],"GSE")</f>
      </c>
      <c r="V36" s="9">
        <f>SUMIFS(tbl_DCFC[F Montant HT],tbl_DCFC[CW REV],V$1,tbl_DCFC[BU_Key],"GSE")</f>
      </c>
      <c r="W36" s="9">
        <f>SUMIFS(tbl_DCFC[F Montant HT],tbl_DCFC[CW REV],W$1,tbl_DCFC[BU_Key],"GSE")</f>
      </c>
      <c r="X36" s="9">
        <f>SUMIFS(tbl_DCFC[F Montant HT],tbl_DCFC[CW REV],X$1,tbl_DCFC[BU_Key],"GSE")</f>
      </c>
      <c r="Y36" s="9">
        <f>SUMIFS(tbl_DCFC[F Montant HT],tbl_DCFC[CW REV],Y$1,tbl_DCFC[BU_Key],"GSE")</f>
      </c>
      <c r="Z36" s="9">
        <f>SUMIFS(tbl_DCFC[F Montant HT],tbl_DCFC[CW REV],Z$1,tbl_DCFC[BU_Key],"GSE")</f>
      </c>
      <c r="AA36" s="9">
        <f>SUMIFS(tbl_DCFC[F Montant HT],tbl_DCFC[CW REV],AA$1,tbl_DCFC[BU_Key],"GSE")</f>
      </c>
      <c r="AB36" s="9">
        <f>SUMIFS(tbl_DCFC[F Montant HT],tbl_DCFC[CW REV],AB$1,tbl_DCFC[BU_Key],"GSE")</f>
      </c>
      <c r="AC36" s="9">
        <f>SUMIFS(tbl_DCFC[F Montant HT],tbl_DCFC[CW REV],AC$1,tbl_DCFC[BU_Key],"GSE")</f>
      </c>
      <c r="AD36" s="9">
        <f>SUMIFS(tbl_DCFC[F Montant HT],tbl_DCFC[CW REV],AD$1,tbl_DCFC[BU_Key],"GSE")</f>
      </c>
      <c r="AE36" s="9">
        <f>SUMIFS(tbl_DCFC[F Montant HT],tbl_DCFC[CW REV],AE$1,tbl_DCFC[BU_Key],"GSE")</f>
      </c>
      <c r="AF36" s="9">
        <f>SUMIFS(tbl_DCFC[F Montant HT],tbl_DCFC[CW REV],AF$1,tbl_DCFC[BU_Key],"GSE")</f>
      </c>
      <c r="AG36" s="9">
        <f>SUMIFS(tbl_DCFC[F Montant HT],tbl_DCFC[CW REV],AG$1,tbl_DCFC[BU_Key],"GSE")</f>
      </c>
      <c r="AH36" s="9">
        <f>SUMIFS(tbl_DCFC[F Montant HT],tbl_DCFC[CW REV],AH$1,tbl_DCFC[BU_Key],"GSE")</f>
      </c>
      <c r="AI36" s="9">
        <f>SUMIFS(tbl_DCFC[F Montant HT],tbl_DCFC[CW REV],AI$1,tbl_DCFC[BU_Key],"GSE")</f>
      </c>
      <c r="AJ36" s="9">
        <f>SUMIFS(tbl_DCFC[F Montant HT],tbl_DCFC[CW REV],AJ$1,tbl_DCFC[BU_Key],"GSE")</f>
      </c>
      <c r="AK36" s="9">
        <f>SUMIFS(tbl_DCFC[F Montant HT],tbl_DCFC[CW REV],AK$1,tbl_DCFC[BU_Key],"GSE")</f>
      </c>
      <c r="AL36" s="9">
        <f>SUMIFS(tbl_DCFC[F Montant HT],tbl_DCFC[CW REV],AL$1,tbl_DCFC[BU_Key],"GSE")</f>
      </c>
      <c r="AM36" s="9">
        <f>SUMIFS(tbl_DCFC[F Montant HT],tbl_DCFC[CW REV],AM$1,tbl_DCFC[BU_Key],"GSE")</f>
      </c>
      <c r="AN36" s="9">
        <f>SUMIFS(tbl_DCFC[F Montant HT],tbl_DCFC[CW REV],AN$1,tbl_DCFC[BU_Key],"GSE")</f>
      </c>
      <c r="AO36" s="9">
        <f>SUMIFS(tbl_DCFC[F Montant HT],tbl_DCFC[CW REV],AO$1,tbl_DCFC[BU_Key],"GSE")</f>
      </c>
      <c r="AP36" s="9">
        <f>SUMIFS(tbl_DCFC[F Montant HT],tbl_DCFC[CW REV],AP$1,tbl_DCFC[BU_Key],"GSE")</f>
      </c>
      <c r="AQ36" s="9">
        <f>SUMIFS(tbl_DCFC[F Montant HT],tbl_DCFC[CW REV],AQ$1,tbl_DCFC[BU_Key],"GSE")</f>
      </c>
      <c r="AR36" s="9">
        <f>SUMIFS(tbl_DCFC[F Montant HT],tbl_DCFC[CW REV],AR$1,tbl_DCFC[BU_Key],"GSE")</f>
      </c>
      <c r="AS36" s="9">
        <f>SUMIFS(tbl_DCFC[F Montant HT],tbl_DCFC[CW REV],AS$1,tbl_DCFC[BU_Key],"GSE")</f>
      </c>
      <c r="AT36" s="9">
        <f>SUMIFS(tbl_DCFC[F Montant HT],tbl_DCFC[CW REV],AT$1,tbl_DCFC[BU_Key],"GSE")</f>
      </c>
      <c r="AU36" s="9">
        <f>SUMIFS(tbl_DCFC[F Montant HT],tbl_DCFC[CW REV],AU$1,tbl_DCFC[BU_Key],"GSE")</f>
      </c>
      <c r="AV36" s="9">
        <f>SUMIFS(tbl_DCFC[F Montant HT],tbl_DCFC[CW REV],AV$1,tbl_DCFC[BU_Key],"GSE")</f>
      </c>
      <c r="AW36" s="9">
        <f>SUMIFS(tbl_DCFC[F Montant HT],tbl_DCFC[CW REV],AW$1,tbl_DCFC[BU_Key],"GSE")</f>
      </c>
      <c r="AX36" s="9">
        <f>SUMIFS(tbl_DCFC[F Montant HT],tbl_DCFC[CW REV],AX$1,tbl_DCFC[BU_Key],"GSE")</f>
      </c>
      <c r="AY36" s="9">
        <f>SUMIFS(tbl_DCFC[F Montant HT],tbl_DCFC[CW REV],AY$1,tbl_DCFC[BU_Key],"GSE")</f>
      </c>
      <c r="AZ36" s="9">
        <f>SUMIFS(tbl_DCFC[F Montant HT],tbl_DCFC[CW REV],AZ$1,tbl_DCFC[BU_Key],"GSE")</f>
      </c>
      <c r="BA36" s="9">
        <f>SUMIFS(tbl_DCFC[F Montant HT],tbl_DCFC[CW REV],BA$1,tbl_DCFC[BU_Key],"GSE")</f>
      </c>
      <c r="BB36" s="9">
        <f>SUMIFS(tbl_DCFC[F Montant HT],tbl_DCFC[CW REV],BB$1,tbl_DCFC[BU_Key],"GSE")</f>
      </c>
      <c r="BC36" s="3"/>
      <c r="BD36" s="3"/>
      <c r="BE36" s="3"/>
    </row>
    <row x14ac:dyDescent="0.25" r="37" customHeight="1" ht="19.5">
      <c r="A37" s="3"/>
      <c r="B37" s="33" t="s">
        <v>464</v>
      </c>
      <c r="C37" s="9">
        <f>SUMIFS(tbl_DCFC[F Montant HT],tbl_DCFC[CW REV],C$1,tbl_DCFC[BU_Key],"TOO")</f>
      </c>
      <c r="D37" s="9">
        <f>SUMIFS(tbl_DCFC[F Montant HT],tbl_DCFC[CW REV],D$1,tbl_DCFC[BU_Key],"TOO")</f>
      </c>
      <c r="E37" s="9">
        <f>SUMIFS(tbl_DCFC[F Montant HT],tbl_DCFC[CW REV],E$1,tbl_DCFC[BU_Key],"TOO")</f>
      </c>
      <c r="F37" s="9">
        <f>SUMIFS(tbl_DCFC[F Montant HT],tbl_DCFC[CW REV],F$1,tbl_DCFC[BU_Key],"TOO")</f>
      </c>
      <c r="G37" s="9">
        <f>SUMIFS(tbl_DCFC[F Montant HT],tbl_DCFC[CW REV],G$1,tbl_DCFC[BU_Key],"TOO")</f>
      </c>
      <c r="H37" s="9">
        <f>SUMIFS(tbl_DCFC[F Montant HT],tbl_DCFC[CW REV],H$1,tbl_DCFC[BU_Key],"TOO")</f>
      </c>
      <c r="I37" s="9">
        <f>SUMIFS(tbl_DCFC[F Montant HT],tbl_DCFC[CW REV],I$1,tbl_DCFC[BU_Key],"TOO")</f>
      </c>
      <c r="J37" s="9">
        <f>SUMIFS(tbl_DCFC[F Montant HT],tbl_DCFC[CW REV],J$1,tbl_DCFC[BU_Key],"TOO")</f>
      </c>
      <c r="K37" s="9">
        <f>SUMIFS(tbl_DCFC[F Montant HT],tbl_DCFC[CW REV],K$1,tbl_DCFC[BU_Key],"TOO")</f>
      </c>
      <c r="L37" s="9">
        <f>SUMIFS(tbl_DCFC[F Montant HT],tbl_DCFC[CW REV],L$1,tbl_DCFC[BU_Key],"TOO")</f>
      </c>
      <c r="M37" s="9">
        <f>SUMIFS(tbl_DCFC[F Montant HT],tbl_DCFC[CW REV],M$1,tbl_DCFC[BU_Key],"TOO")</f>
      </c>
      <c r="N37" s="9">
        <f>SUMIFS(tbl_DCFC[F Montant HT],tbl_DCFC[CW REV],N$1,tbl_DCFC[BU_Key],"TOO")</f>
      </c>
      <c r="O37" s="9">
        <f>SUMIFS(tbl_DCFC[F Montant HT],tbl_DCFC[CW REV],O$1,tbl_DCFC[BU_Key],"TOO")</f>
      </c>
      <c r="P37" s="9">
        <f>SUMIFS(tbl_DCFC[F Montant HT],tbl_DCFC[CW REV],P$1,tbl_DCFC[BU_Key],"TOO")</f>
      </c>
      <c r="Q37" s="9">
        <f>SUMIFS(tbl_DCFC[F Montant HT],tbl_DCFC[CW REV],Q$1,tbl_DCFC[BU_Key],"TOO")</f>
      </c>
      <c r="R37" s="9">
        <f>SUMIFS(tbl_DCFC[F Montant HT],tbl_DCFC[CW REV],R$1,tbl_DCFC[BU_Key],"TOO")</f>
      </c>
      <c r="S37" s="9">
        <f>SUMIFS(tbl_DCFC[F Montant HT],tbl_DCFC[CW REV],S$1,tbl_DCFC[BU_Key],"TOO")</f>
      </c>
      <c r="T37" s="9">
        <f>SUMIFS(tbl_DCFC[F Montant HT],tbl_DCFC[CW REV],T$1,tbl_DCFC[BU_Key],"TOO")</f>
      </c>
      <c r="U37" s="9">
        <f>SUMIFS(tbl_DCFC[F Montant HT],tbl_DCFC[CW REV],U$1,tbl_DCFC[BU_Key],"TOO")</f>
      </c>
      <c r="V37" s="9">
        <f>SUMIFS(tbl_DCFC[F Montant HT],tbl_DCFC[CW REV],V$1,tbl_DCFC[BU_Key],"TOO")</f>
      </c>
      <c r="W37" s="9">
        <f>SUMIFS(tbl_DCFC[F Montant HT],tbl_DCFC[CW REV],W$1,tbl_DCFC[BU_Key],"TOO")</f>
      </c>
      <c r="X37" s="9">
        <f>SUMIFS(tbl_DCFC[F Montant HT],tbl_DCFC[CW REV],X$1,tbl_DCFC[BU_Key],"TOO")</f>
      </c>
      <c r="Y37" s="9">
        <f>SUMIFS(tbl_DCFC[F Montant HT],tbl_DCFC[CW REV],Y$1,tbl_DCFC[BU_Key],"TOO")</f>
      </c>
      <c r="Z37" s="9">
        <f>SUMIFS(tbl_DCFC[F Montant HT],tbl_DCFC[CW REV],Z$1,tbl_DCFC[BU_Key],"TOO")</f>
      </c>
      <c r="AA37" s="9">
        <f>SUMIFS(tbl_DCFC[F Montant HT],tbl_DCFC[CW REV],AA$1,tbl_DCFC[BU_Key],"TOO")</f>
      </c>
      <c r="AB37" s="9">
        <f>SUMIFS(tbl_DCFC[F Montant HT],tbl_DCFC[CW REV],AB$1,tbl_DCFC[BU_Key],"TOO")</f>
      </c>
      <c r="AC37" s="9">
        <f>SUMIFS(tbl_DCFC[F Montant HT],tbl_DCFC[CW REV],AC$1,tbl_DCFC[BU_Key],"TOO")</f>
      </c>
      <c r="AD37" s="9">
        <f>SUMIFS(tbl_DCFC[F Montant HT],tbl_DCFC[CW REV],AD$1,tbl_DCFC[BU_Key],"TOO")</f>
      </c>
      <c r="AE37" s="9">
        <f>SUMIFS(tbl_DCFC[F Montant HT],tbl_DCFC[CW REV],AE$1,tbl_DCFC[BU_Key],"TOO")</f>
      </c>
      <c r="AF37" s="9">
        <f>SUMIFS(tbl_DCFC[F Montant HT],tbl_DCFC[CW REV],AF$1,tbl_DCFC[BU_Key],"TOO")</f>
      </c>
      <c r="AG37" s="9">
        <f>SUMIFS(tbl_DCFC[F Montant HT],tbl_DCFC[CW REV],AG$1,tbl_DCFC[BU_Key],"TOO")</f>
      </c>
      <c r="AH37" s="9">
        <f>SUMIFS(tbl_DCFC[F Montant HT],tbl_DCFC[CW REV],AH$1,tbl_DCFC[BU_Key],"TOO")</f>
      </c>
      <c r="AI37" s="9">
        <f>SUMIFS(tbl_DCFC[F Montant HT],tbl_DCFC[CW REV],AI$1,tbl_DCFC[BU_Key],"TOO")</f>
      </c>
      <c r="AJ37" s="9">
        <f>SUMIFS(tbl_DCFC[F Montant HT],tbl_DCFC[CW REV],AJ$1,tbl_DCFC[BU_Key],"TOO")</f>
      </c>
      <c r="AK37" s="9">
        <f>SUMIFS(tbl_DCFC[F Montant HT],tbl_DCFC[CW REV],AK$1,tbl_DCFC[BU_Key],"TOO")</f>
      </c>
      <c r="AL37" s="9">
        <f>SUMIFS(tbl_DCFC[F Montant HT],tbl_DCFC[CW REV],AL$1,tbl_DCFC[BU_Key],"TOO")</f>
      </c>
      <c r="AM37" s="9">
        <f>SUMIFS(tbl_DCFC[F Montant HT],tbl_DCFC[CW REV],AM$1,tbl_DCFC[BU_Key],"TOO")</f>
      </c>
      <c r="AN37" s="9">
        <f>SUMIFS(tbl_DCFC[F Montant HT],tbl_DCFC[CW REV],AN$1,tbl_DCFC[BU_Key],"TOO")</f>
      </c>
      <c r="AO37" s="9">
        <f>SUMIFS(tbl_DCFC[F Montant HT],tbl_DCFC[CW REV],AO$1,tbl_DCFC[BU_Key],"TOO")</f>
      </c>
      <c r="AP37" s="9">
        <f>SUMIFS(tbl_DCFC[F Montant HT],tbl_DCFC[CW REV],AP$1,tbl_DCFC[BU_Key],"TOO")</f>
      </c>
      <c r="AQ37" s="9">
        <f>SUMIFS(tbl_DCFC[F Montant HT],tbl_DCFC[CW REV],AQ$1,tbl_DCFC[BU_Key],"TOO")</f>
      </c>
      <c r="AR37" s="9">
        <f>SUMIFS(tbl_DCFC[F Montant HT],tbl_DCFC[CW REV],AR$1,tbl_DCFC[BU_Key],"TOO")</f>
      </c>
      <c r="AS37" s="9">
        <f>SUMIFS(tbl_DCFC[F Montant HT],tbl_DCFC[CW REV],AS$1,tbl_DCFC[BU_Key],"TOO")</f>
      </c>
      <c r="AT37" s="9">
        <f>SUMIFS(tbl_DCFC[F Montant HT],tbl_DCFC[CW REV],AT$1,tbl_DCFC[BU_Key],"TOO")</f>
      </c>
      <c r="AU37" s="9">
        <f>SUMIFS(tbl_DCFC[F Montant HT],tbl_DCFC[CW REV],AU$1,tbl_DCFC[BU_Key],"TOO")</f>
      </c>
      <c r="AV37" s="9">
        <f>SUMIFS(tbl_DCFC[F Montant HT],tbl_DCFC[CW REV],AV$1,tbl_DCFC[BU_Key],"TOO")</f>
      </c>
      <c r="AW37" s="9">
        <f>SUMIFS(tbl_DCFC[F Montant HT],tbl_DCFC[CW REV],AW$1,tbl_DCFC[BU_Key],"TOO")</f>
      </c>
      <c r="AX37" s="9">
        <f>SUMIFS(tbl_DCFC[F Montant HT],tbl_DCFC[CW REV],AX$1,tbl_DCFC[BU_Key],"TOO")</f>
      </c>
      <c r="AY37" s="9">
        <f>SUMIFS(tbl_DCFC[F Montant HT],tbl_DCFC[CW REV],AY$1,tbl_DCFC[BU_Key],"TOO")</f>
      </c>
      <c r="AZ37" s="9">
        <f>SUMIFS(tbl_DCFC[F Montant HT],tbl_DCFC[CW REV],AZ$1,tbl_DCFC[BU_Key],"TOO")</f>
      </c>
      <c r="BA37" s="9">
        <f>SUMIFS(tbl_DCFC[F Montant HT],tbl_DCFC[CW REV],BA$1,tbl_DCFC[BU_Key],"TOO")</f>
      </c>
      <c r="BB37" s="9">
        <f>SUMIFS(tbl_DCFC[F Montant HT],tbl_DCFC[CW REV],BB$1,tbl_DCFC[BU_Key],"TOO")</f>
      </c>
      <c r="BC37" s="3"/>
      <c r="BD37" s="3"/>
      <c r="BE37" s="3"/>
    </row>
    <row x14ac:dyDescent="0.25" r="38" customHeight="1" ht="19.5">
      <c r="A38" s="3"/>
      <c r="B38" s="33" t="s">
        <v>465</v>
      </c>
      <c r="C38" s="9">
        <f>SUMIFS(tbl_DCFC[F Montant HT],tbl_DCFC[CW REV],C$1,tbl_DCFC[BU_Key],"SER")</f>
      </c>
      <c r="D38" s="9">
        <f>SUMIFS(tbl_DCFC[F Montant HT],tbl_DCFC[CW REV],D$1,tbl_DCFC[BU_Key],"SER")</f>
      </c>
      <c r="E38" s="9">
        <f>SUMIFS(tbl_DCFC[F Montant HT],tbl_DCFC[CW REV],E$1,tbl_DCFC[BU_Key],"SER")</f>
      </c>
      <c r="F38" s="9">
        <f>SUMIFS(tbl_DCFC[F Montant HT],tbl_DCFC[CW REV],F$1,tbl_DCFC[BU_Key],"SER")</f>
      </c>
      <c r="G38" s="9">
        <f>SUMIFS(tbl_DCFC[F Montant HT],tbl_DCFC[CW REV],G$1,tbl_DCFC[BU_Key],"SER")</f>
      </c>
      <c r="H38" s="9">
        <f>SUMIFS(tbl_DCFC[F Montant HT],tbl_DCFC[CW REV],H$1,tbl_DCFC[BU_Key],"SER")</f>
      </c>
      <c r="I38" s="9">
        <f>SUMIFS(tbl_DCFC[F Montant HT],tbl_DCFC[CW REV],I$1,tbl_DCFC[BU_Key],"SER")</f>
      </c>
      <c r="J38" s="9">
        <f>SUMIFS(tbl_DCFC[F Montant HT],tbl_DCFC[CW REV],J$1,tbl_DCFC[BU_Key],"SER")</f>
      </c>
      <c r="K38" s="9">
        <f>SUMIFS(tbl_DCFC[F Montant HT],tbl_DCFC[CW REV],K$1,tbl_DCFC[BU_Key],"SER")</f>
      </c>
      <c r="L38" s="9">
        <f>SUMIFS(tbl_DCFC[F Montant HT],tbl_DCFC[CW REV],L$1,tbl_DCFC[BU_Key],"SER")</f>
      </c>
      <c r="M38" s="9">
        <f>SUMIFS(tbl_DCFC[F Montant HT],tbl_DCFC[CW REV],M$1,tbl_DCFC[BU_Key],"SER")</f>
      </c>
      <c r="N38" s="9">
        <f>SUMIFS(tbl_DCFC[F Montant HT],tbl_DCFC[CW REV],N$1,tbl_DCFC[BU_Key],"SER")</f>
      </c>
      <c r="O38" s="9">
        <f>SUMIFS(tbl_DCFC[F Montant HT],tbl_DCFC[CW REV],O$1,tbl_DCFC[BU_Key],"SER")</f>
      </c>
      <c r="P38" s="9">
        <f>SUMIFS(tbl_DCFC[F Montant HT],tbl_DCFC[CW REV],P$1,tbl_DCFC[BU_Key],"SER")</f>
      </c>
      <c r="Q38" s="9">
        <f>SUMIFS(tbl_DCFC[F Montant HT],tbl_DCFC[CW REV],Q$1,tbl_DCFC[BU_Key],"SER")</f>
      </c>
      <c r="R38" s="9">
        <f>SUMIFS(tbl_DCFC[F Montant HT],tbl_DCFC[CW REV],R$1,tbl_DCFC[BU_Key],"SER")</f>
      </c>
      <c r="S38" s="9">
        <f>SUMIFS(tbl_DCFC[F Montant HT],tbl_DCFC[CW REV],S$1,tbl_DCFC[BU_Key],"SER")</f>
      </c>
      <c r="T38" s="9">
        <f>SUMIFS(tbl_DCFC[F Montant HT],tbl_DCFC[CW REV],T$1,tbl_DCFC[BU_Key],"SER")</f>
      </c>
      <c r="U38" s="9">
        <f>SUMIFS(tbl_DCFC[F Montant HT],tbl_DCFC[CW REV],U$1,tbl_DCFC[BU_Key],"SER")</f>
      </c>
      <c r="V38" s="9">
        <f>SUMIFS(tbl_DCFC[F Montant HT],tbl_DCFC[CW REV],V$1,tbl_DCFC[BU_Key],"SER")</f>
      </c>
      <c r="W38" s="9">
        <f>SUMIFS(tbl_DCFC[F Montant HT],tbl_DCFC[CW REV],W$1,tbl_DCFC[BU_Key],"SER")</f>
      </c>
      <c r="X38" s="9">
        <f>SUMIFS(tbl_DCFC[F Montant HT],tbl_DCFC[CW REV],X$1,tbl_DCFC[BU_Key],"SER")</f>
      </c>
      <c r="Y38" s="9">
        <f>SUMIFS(tbl_DCFC[F Montant HT],tbl_DCFC[CW REV],Y$1,tbl_DCFC[BU_Key],"SER")</f>
      </c>
      <c r="Z38" s="9">
        <f>SUMIFS(tbl_DCFC[F Montant HT],tbl_DCFC[CW REV],Z$1,tbl_DCFC[BU_Key],"SER")</f>
      </c>
      <c r="AA38" s="9">
        <f>SUMIFS(tbl_DCFC[F Montant HT],tbl_DCFC[CW REV],AA$1,tbl_DCFC[BU_Key],"SER")</f>
      </c>
      <c r="AB38" s="9">
        <f>SUMIFS(tbl_DCFC[F Montant HT],tbl_DCFC[CW REV],AB$1,tbl_DCFC[BU_Key],"SER")</f>
      </c>
      <c r="AC38" s="9">
        <f>SUMIFS(tbl_DCFC[F Montant HT],tbl_DCFC[CW REV],AC$1,tbl_DCFC[BU_Key],"SER")</f>
      </c>
      <c r="AD38" s="9">
        <f>SUMIFS(tbl_DCFC[F Montant HT],tbl_DCFC[CW REV],AD$1,tbl_DCFC[BU_Key],"SER")</f>
      </c>
      <c r="AE38" s="9">
        <f>SUMIFS(tbl_DCFC[F Montant HT],tbl_DCFC[CW REV],AE$1,tbl_DCFC[BU_Key],"SER")</f>
      </c>
      <c r="AF38" s="9">
        <f>SUMIFS(tbl_DCFC[F Montant HT],tbl_DCFC[CW REV],AF$1,tbl_DCFC[BU_Key],"SER")</f>
      </c>
      <c r="AG38" s="9">
        <f>SUMIFS(tbl_DCFC[F Montant HT],tbl_DCFC[CW REV],AG$1,tbl_DCFC[BU_Key],"SER")</f>
      </c>
      <c r="AH38" s="9">
        <f>SUMIFS(tbl_DCFC[F Montant HT],tbl_DCFC[CW REV],AH$1,tbl_DCFC[BU_Key],"SER")</f>
      </c>
      <c r="AI38" s="9">
        <f>SUMIFS(tbl_DCFC[F Montant HT],tbl_DCFC[CW REV],AI$1,tbl_DCFC[BU_Key],"SER")</f>
      </c>
      <c r="AJ38" s="9">
        <f>SUMIFS(tbl_DCFC[F Montant HT],tbl_DCFC[CW REV],AJ$1,tbl_DCFC[BU_Key],"SER")</f>
      </c>
      <c r="AK38" s="9">
        <f>SUMIFS(tbl_DCFC[F Montant HT],tbl_DCFC[CW REV],AK$1,tbl_DCFC[BU_Key],"SER")</f>
      </c>
      <c r="AL38" s="9">
        <f>SUMIFS(tbl_DCFC[F Montant HT],tbl_DCFC[CW REV],AL$1,tbl_DCFC[BU_Key],"SER")</f>
      </c>
      <c r="AM38" s="9">
        <f>SUMIFS(tbl_DCFC[F Montant HT],tbl_DCFC[CW REV],AM$1,tbl_DCFC[BU_Key],"SER")</f>
      </c>
      <c r="AN38" s="9">
        <f>SUMIFS(tbl_DCFC[F Montant HT],tbl_DCFC[CW REV],AN$1,tbl_DCFC[BU_Key],"SER")</f>
      </c>
      <c r="AO38" s="9">
        <f>SUMIFS(tbl_DCFC[F Montant HT],tbl_DCFC[CW REV],AO$1,tbl_DCFC[BU_Key],"SER")</f>
      </c>
      <c r="AP38" s="9">
        <f>SUMIFS(tbl_DCFC[F Montant HT],tbl_DCFC[CW REV],AP$1,tbl_DCFC[BU_Key],"SER")</f>
      </c>
      <c r="AQ38" s="9">
        <f>SUMIFS(tbl_DCFC[F Montant HT],tbl_DCFC[CW REV],AQ$1,tbl_DCFC[BU_Key],"SER")</f>
      </c>
      <c r="AR38" s="9">
        <f>SUMIFS(tbl_DCFC[F Montant HT],tbl_DCFC[CW REV],AR$1,tbl_DCFC[BU_Key],"SER")</f>
      </c>
      <c r="AS38" s="9">
        <f>SUMIFS(tbl_DCFC[F Montant HT],tbl_DCFC[CW REV],AS$1,tbl_DCFC[BU_Key],"SER")</f>
      </c>
      <c r="AT38" s="9">
        <f>SUMIFS(tbl_DCFC[F Montant HT],tbl_DCFC[CW REV],AT$1,tbl_DCFC[BU_Key],"SER")</f>
      </c>
      <c r="AU38" s="9">
        <f>SUMIFS(tbl_DCFC[F Montant HT],tbl_DCFC[CW REV],AU$1,tbl_DCFC[BU_Key],"SER")</f>
      </c>
      <c r="AV38" s="9">
        <f>SUMIFS(tbl_DCFC[F Montant HT],tbl_DCFC[CW REV],AV$1,tbl_DCFC[BU_Key],"SER")</f>
      </c>
      <c r="AW38" s="9">
        <f>SUMIFS(tbl_DCFC[F Montant HT],tbl_DCFC[CW REV],AW$1,tbl_DCFC[BU_Key],"SER")</f>
      </c>
      <c r="AX38" s="9">
        <f>SUMIFS(tbl_DCFC[F Montant HT],tbl_DCFC[CW REV],AX$1,tbl_DCFC[BU_Key],"SER")</f>
      </c>
      <c r="AY38" s="9">
        <f>SUMIFS(tbl_DCFC[F Montant HT],tbl_DCFC[CW REV],AY$1,tbl_DCFC[BU_Key],"SER")</f>
      </c>
      <c r="AZ38" s="9">
        <f>SUMIFS(tbl_DCFC[F Montant HT],tbl_DCFC[CW REV],AZ$1,tbl_DCFC[BU_Key],"SER")</f>
      </c>
      <c r="BA38" s="9">
        <f>SUMIFS(tbl_DCFC[F Montant HT],tbl_DCFC[CW REV],BA$1,tbl_DCFC[BU_Key],"SER")</f>
      </c>
      <c r="BB38" s="9">
        <f>SUMIFS(tbl_DCFC[F Montant HT],tbl_DCFC[CW REV],BB$1,tbl_DCFC[BU_Key],"SER")</f>
      </c>
      <c r="BC38" s="3"/>
      <c r="BD38" s="3"/>
      <c r="BE38" s="3"/>
    </row>
    <row x14ac:dyDescent="0.25" r="39" customHeight="1" ht="19.5">
      <c r="A39" s="3"/>
      <c r="B39" s="33" t="s">
        <v>458</v>
      </c>
      <c r="C39" s="159">
        <f>SUMIFS(tbl_DCFC[F Montant HT],tbl_DCFC[CW REV],C$1,tbl_DCFC[BU_Key],"INT")</f>
      </c>
      <c r="D39" s="159">
        <f>SUMIFS(tbl_DCFC[F Montant HT],tbl_DCFC[CW REV],D$1,tbl_DCFC[BU_Key],"INT")</f>
      </c>
      <c r="E39" s="159">
        <f>SUMIFS(tbl_DCFC[F Montant HT],tbl_DCFC[CW REV],E$1,tbl_DCFC[BU_Key],"INT")</f>
      </c>
      <c r="F39" s="159">
        <f>SUMIFS(tbl_DCFC[F Montant HT],tbl_DCFC[CW REV],F$1,tbl_DCFC[BU_Key],"INT")</f>
      </c>
      <c r="G39" s="159">
        <f>SUMIFS(tbl_DCFC[F Montant HT],tbl_DCFC[CW REV],G$1,tbl_DCFC[BU_Key],"INT")</f>
      </c>
      <c r="H39" s="159">
        <f>SUMIFS(tbl_DCFC[F Montant HT],tbl_DCFC[CW REV],H$1,tbl_DCFC[BU_Key],"INT")</f>
      </c>
      <c r="I39" s="159">
        <f>SUMIFS(tbl_DCFC[F Montant HT],tbl_DCFC[CW REV],I$1,tbl_DCFC[BU_Key],"INT")</f>
      </c>
      <c r="J39" s="159">
        <f>SUMIFS(tbl_DCFC[F Montant HT],tbl_DCFC[CW REV],J$1,tbl_DCFC[BU_Key],"INT")</f>
      </c>
      <c r="K39" s="159">
        <f>SUMIFS(tbl_DCFC[F Montant HT],tbl_DCFC[CW REV],K$1,tbl_DCFC[BU_Key],"INT")</f>
      </c>
      <c r="L39" s="159">
        <f>SUMIFS(tbl_DCFC[F Montant HT],tbl_DCFC[CW REV],L$1,tbl_DCFC[BU_Key],"INT")</f>
      </c>
      <c r="M39" s="159">
        <f>SUMIFS(tbl_DCFC[F Montant HT],tbl_DCFC[CW REV],M$1,tbl_DCFC[BU_Key],"INT")</f>
      </c>
      <c r="N39" s="159">
        <f>SUMIFS(tbl_DCFC[F Montant HT],tbl_DCFC[CW REV],N$1,tbl_DCFC[BU_Key],"INT")</f>
      </c>
      <c r="O39" s="159">
        <f>SUMIFS(tbl_DCFC[F Montant HT],tbl_DCFC[CW REV],O$1,tbl_DCFC[BU_Key],"INT")</f>
      </c>
      <c r="P39" s="159">
        <f>SUMIFS(tbl_DCFC[F Montant HT],tbl_DCFC[CW REV],P$1,tbl_DCFC[BU_Key],"INT")</f>
      </c>
      <c r="Q39" s="159">
        <f>SUMIFS(tbl_DCFC[F Montant HT],tbl_DCFC[CW REV],Q$1,tbl_DCFC[BU_Key],"INT")</f>
      </c>
      <c r="R39" s="159">
        <f>SUMIFS(tbl_DCFC[F Montant HT],tbl_DCFC[CW REV],R$1,tbl_DCFC[BU_Key],"INT")</f>
      </c>
      <c r="S39" s="159">
        <f>SUMIFS(tbl_DCFC[F Montant HT],tbl_DCFC[CW REV],S$1,tbl_DCFC[BU_Key],"INT")</f>
      </c>
      <c r="T39" s="159">
        <f>SUMIFS(tbl_DCFC[F Montant HT],tbl_DCFC[CW REV],T$1,tbl_DCFC[BU_Key],"INT")</f>
      </c>
      <c r="U39" s="159">
        <f>SUMIFS(tbl_DCFC[F Montant HT],tbl_DCFC[CW REV],U$1,tbl_DCFC[BU_Key],"INT")</f>
      </c>
      <c r="V39" s="159">
        <f>SUMIFS(tbl_DCFC[F Montant HT],tbl_DCFC[CW REV],V$1,tbl_DCFC[BU_Key],"INT")</f>
      </c>
      <c r="W39" s="159">
        <f>SUMIFS(tbl_DCFC[F Montant HT],tbl_DCFC[CW REV],W$1,tbl_DCFC[BU_Key],"INT")</f>
      </c>
      <c r="X39" s="159">
        <f>SUMIFS(tbl_DCFC[F Montant HT],tbl_DCFC[CW REV],X$1,tbl_DCFC[BU_Key],"INT")</f>
      </c>
      <c r="Y39" s="159">
        <f>SUMIFS(tbl_DCFC[F Montant HT],tbl_DCFC[CW REV],Y$1,tbl_DCFC[BU_Key],"INT")</f>
      </c>
      <c r="Z39" s="159">
        <f>SUMIFS(tbl_DCFC[F Montant HT],tbl_DCFC[CW REV],Z$1,tbl_DCFC[BU_Key],"INT")</f>
      </c>
      <c r="AA39" s="159">
        <f>SUMIFS(tbl_DCFC[F Montant HT],tbl_DCFC[CW REV],AA$1,tbl_DCFC[BU_Key],"INT")</f>
      </c>
      <c r="AB39" s="159">
        <f>SUMIFS(tbl_DCFC[F Montant HT],tbl_DCFC[CW REV],AB$1,tbl_DCFC[BU_Key],"INT")</f>
      </c>
      <c r="AC39" s="159">
        <f>SUMIFS(tbl_DCFC[F Montant HT],tbl_DCFC[CW REV],AC$1,tbl_DCFC[BU_Key],"INT")</f>
      </c>
      <c r="AD39" s="159">
        <f>SUMIFS(tbl_DCFC[F Montant HT],tbl_DCFC[CW REV],AD$1,tbl_DCFC[BU_Key],"INT")</f>
      </c>
      <c r="AE39" s="159">
        <f>SUMIFS(tbl_DCFC[F Montant HT],tbl_DCFC[CW REV],AE$1,tbl_DCFC[BU_Key],"INT")</f>
      </c>
      <c r="AF39" s="159">
        <f>SUMIFS(tbl_DCFC[F Montant HT],tbl_DCFC[CW REV],AF$1,tbl_DCFC[BU_Key],"INT")</f>
      </c>
      <c r="AG39" s="159">
        <f>SUMIFS(tbl_DCFC[F Montant HT],tbl_DCFC[CW REV],AG$1,tbl_DCFC[BU_Key],"INT")</f>
      </c>
      <c r="AH39" s="159">
        <f>SUMIFS(tbl_DCFC[F Montant HT],tbl_DCFC[CW REV],AH$1,tbl_DCFC[BU_Key],"INT")</f>
      </c>
      <c r="AI39" s="159">
        <f>SUMIFS(tbl_DCFC[F Montant HT],tbl_DCFC[CW REV],AI$1,tbl_DCFC[BU_Key],"INT")</f>
      </c>
      <c r="AJ39" s="159">
        <f>SUMIFS(tbl_DCFC[F Montant HT],tbl_DCFC[CW REV],AJ$1,tbl_DCFC[BU_Key],"INT")</f>
      </c>
      <c r="AK39" s="159">
        <f>SUMIFS(tbl_DCFC[F Montant HT],tbl_DCFC[CW REV],AK$1,tbl_DCFC[BU_Key],"INT")</f>
      </c>
      <c r="AL39" s="159">
        <f>SUMIFS(tbl_DCFC[F Montant HT],tbl_DCFC[CW REV],AL$1,tbl_DCFC[BU_Key],"INT")</f>
      </c>
      <c r="AM39" s="159">
        <f>SUMIFS(tbl_DCFC[F Montant HT],tbl_DCFC[CW REV],AM$1,tbl_DCFC[BU_Key],"INT")</f>
      </c>
      <c r="AN39" s="159">
        <f>SUMIFS(tbl_DCFC[F Montant HT],tbl_DCFC[CW REV],AN$1,tbl_DCFC[BU_Key],"INT")</f>
      </c>
      <c r="AO39" s="159">
        <f>SUMIFS(tbl_DCFC[F Montant HT],tbl_DCFC[CW REV],AO$1,tbl_DCFC[BU_Key],"INT")</f>
      </c>
      <c r="AP39" s="159">
        <f>SUMIFS(tbl_DCFC[F Montant HT],tbl_DCFC[CW REV],AP$1,tbl_DCFC[BU_Key],"INT")</f>
      </c>
      <c r="AQ39" s="159">
        <f>SUMIFS(tbl_DCFC[F Montant HT],tbl_DCFC[CW REV],AQ$1,tbl_DCFC[BU_Key],"INT")</f>
      </c>
      <c r="AR39" s="159">
        <f>SUMIFS(tbl_DCFC[F Montant HT],tbl_DCFC[CW REV],AR$1,tbl_DCFC[BU_Key],"INT")</f>
      </c>
      <c r="AS39" s="159">
        <f>SUMIFS(tbl_DCFC[F Montant HT],tbl_DCFC[CW REV],AS$1,tbl_DCFC[BU_Key],"INT")</f>
      </c>
      <c r="AT39" s="159">
        <f>SUMIFS(tbl_DCFC[F Montant HT],tbl_DCFC[CW REV],AT$1,tbl_DCFC[BU_Key],"INT")</f>
      </c>
      <c r="AU39" s="159">
        <f>SUMIFS(tbl_DCFC[F Montant HT],tbl_DCFC[CW REV],AU$1,tbl_DCFC[BU_Key],"INT")</f>
      </c>
      <c r="AV39" s="159">
        <f>SUMIFS(tbl_DCFC[F Montant HT],tbl_DCFC[CW REV],AV$1,tbl_DCFC[BU_Key],"INT")</f>
      </c>
      <c r="AW39" s="159">
        <f>SUMIFS(tbl_DCFC[F Montant HT],tbl_DCFC[CW REV],AW$1,tbl_DCFC[BU_Key],"INT")</f>
      </c>
      <c r="AX39" s="159">
        <f>SUMIFS(tbl_DCFC[F Montant HT],tbl_DCFC[CW REV],AX$1,tbl_DCFC[BU_Key],"INT")</f>
      </c>
      <c r="AY39" s="159">
        <f>SUMIFS(tbl_DCFC[F Montant HT],tbl_DCFC[CW REV],AY$1,tbl_DCFC[BU_Key],"INT")</f>
      </c>
      <c r="AZ39" s="159">
        <f>SUMIFS(tbl_DCFC[F Montant HT],tbl_DCFC[CW REV],AZ$1,tbl_DCFC[BU_Key],"INT")</f>
      </c>
      <c r="BA39" s="159">
        <f>SUMIFS(tbl_DCFC[F Montant HT],tbl_DCFC[CW REV],BA$1,tbl_DCFC[BU_Key],"INT")</f>
      </c>
      <c r="BB39" s="159">
        <f>SUMIFS(tbl_DCFC[F Montant HT],tbl_DCFC[CW REV],BB$1,tbl_DCFC[BU_Key],"INT")</f>
      </c>
      <c r="BC39" s="3"/>
      <c r="BD39" s="3"/>
      <c r="BE39" s="3"/>
    </row>
    <row x14ac:dyDescent="0.25" r="40" customHeight="1" ht="19.5">
      <c r="A40" s="3"/>
      <c r="B40" s="33" t="s">
        <v>466</v>
      </c>
      <c r="C40" s="9">
        <f>C36</f>
      </c>
      <c r="D40" s="9">
        <f>C40+D36</f>
      </c>
      <c r="E40" s="9">
        <f>D40+E36</f>
      </c>
      <c r="F40" s="9">
        <f>E40+F36</f>
      </c>
      <c r="G40" s="9">
        <f>F40+G36</f>
      </c>
      <c r="H40" s="9">
        <f>G40+H36</f>
      </c>
      <c r="I40" s="9">
        <f>H40+I36</f>
      </c>
      <c r="J40" s="9">
        <f>I40+J36</f>
      </c>
      <c r="K40" s="9">
        <f>J40+K36</f>
      </c>
      <c r="L40" s="9">
        <f>K40+L36</f>
      </c>
      <c r="M40" s="9">
        <f>L40+M36</f>
      </c>
      <c r="N40" s="9">
        <f>M40+N36</f>
      </c>
      <c r="O40" s="9">
        <f>N40+O36</f>
      </c>
      <c r="P40" s="9">
        <f>O40+P36</f>
      </c>
      <c r="Q40" s="9">
        <f>P40+Q36</f>
      </c>
      <c r="R40" s="9">
        <f>Q40+R36</f>
      </c>
      <c r="S40" s="9">
        <f>R40+S36</f>
      </c>
      <c r="T40" s="9">
        <f>S40+T36</f>
      </c>
      <c r="U40" s="9">
        <f>T40+U36</f>
      </c>
      <c r="V40" s="9">
        <f>U40+V36</f>
      </c>
      <c r="W40" s="9">
        <f>V40+W36</f>
      </c>
      <c r="X40" s="9">
        <f>W40+X36</f>
      </c>
      <c r="Y40" s="9">
        <f>X40+Y36</f>
      </c>
      <c r="Z40" s="9">
        <f>Y40+Z36</f>
      </c>
      <c r="AA40" s="9">
        <f>Z40+AA36</f>
      </c>
      <c r="AB40" s="9">
        <f>AA40+AB36</f>
      </c>
      <c r="AC40" s="9">
        <f>AB40+AC36</f>
      </c>
      <c r="AD40" s="9">
        <f>AC40+AD36</f>
      </c>
      <c r="AE40" s="9">
        <f>AD40+AE36</f>
      </c>
      <c r="AF40" s="9">
        <f>AE40+AF36</f>
      </c>
      <c r="AG40" s="9">
        <f>AF40+AG36</f>
      </c>
      <c r="AH40" s="9">
        <f>AG40+AH36</f>
      </c>
      <c r="AI40" s="9">
        <f>AH40+AI36</f>
      </c>
      <c r="AJ40" s="9">
        <f>AI40+AJ36</f>
      </c>
      <c r="AK40" s="9">
        <f>AJ40+AK36</f>
      </c>
      <c r="AL40" s="9">
        <f>AK40+AL36</f>
      </c>
      <c r="AM40" s="9">
        <f>AL40+AM36</f>
      </c>
      <c r="AN40" s="9">
        <f>AM40+AN36</f>
      </c>
      <c r="AO40" s="9">
        <f>AN40+AO36</f>
      </c>
      <c r="AP40" s="9">
        <f>AO40+AP36</f>
      </c>
      <c r="AQ40" s="9">
        <f>AP40+AQ36</f>
      </c>
      <c r="AR40" s="9">
        <f>AQ40+AR36</f>
      </c>
      <c r="AS40" s="9">
        <f>AR40+AS36</f>
      </c>
      <c r="AT40" s="9">
        <f>AS40+AT36</f>
      </c>
      <c r="AU40" s="9">
        <f>AT40+AU36</f>
      </c>
      <c r="AV40" s="9">
        <f>AU40+AV36</f>
      </c>
      <c r="AW40" s="9">
        <f>AV40+AW36</f>
      </c>
      <c r="AX40" s="9">
        <f>AW40+AX36</f>
      </c>
      <c r="AY40" s="9">
        <f>AX40+AY36</f>
      </c>
      <c r="AZ40" s="9">
        <f>AY40+AZ36</f>
      </c>
      <c r="BA40" s="9">
        <f>AZ40+BA36</f>
      </c>
      <c r="BB40" s="9">
        <f>BA40+BB36</f>
      </c>
      <c r="BC40" s="3"/>
      <c r="BD40" s="3"/>
      <c r="BE40" s="3"/>
    </row>
    <row x14ac:dyDescent="0.25" r="41" customHeight="1" ht="19.5">
      <c r="A41" s="3"/>
      <c r="B41" s="33" t="s">
        <v>467</v>
      </c>
      <c r="C41" s="9">
        <f>C37</f>
      </c>
      <c r="D41" s="9">
        <f>C41+D37</f>
      </c>
      <c r="E41" s="9">
        <f>D41+E37</f>
      </c>
      <c r="F41" s="9">
        <f>E41+F37</f>
      </c>
      <c r="G41" s="9">
        <f>F41+G37</f>
      </c>
      <c r="H41" s="9">
        <f>G41+H37</f>
      </c>
      <c r="I41" s="9">
        <f>H41+I37</f>
      </c>
      <c r="J41" s="9">
        <f>I41+J37</f>
      </c>
      <c r="K41" s="9">
        <f>J41+K37</f>
      </c>
      <c r="L41" s="9">
        <f>K41+L37</f>
      </c>
      <c r="M41" s="9">
        <f>L41+M37</f>
      </c>
      <c r="N41" s="9">
        <f>M41+N37</f>
      </c>
      <c r="O41" s="9">
        <f>N41+O37</f>
      </c>
      <c r="P41" s="9">
        <f>O41+P37</f>
      </c>
      <c r="Q41" s="9">
        <f>P41+Q37</f>
      </c>
      <c r="R41" s="9">
        <f>Q41+R37</f>
      </c>
      <c r="S41" s="9">
        <f>R41+S37</f>
      </c>
      <c r="T41" s="9">
        <f>S41+T37</f>
      </c>
      <c r="U41" s="9">
        <f>T41+U37</f>
      </c>
      <c r="V41" s="9">
        <f>U41+V37</f>
      </c>
      <c r="W41" s="9">
        <f>V41+W37</f>
      </c>
      <c r="X41" s="9">
        <f>W41+X37</f>
      </c>
      <c r="Y41" s="9">
        <f>X41+Y37</f>
      </c>
      <c r="Z41" s="9">
        <f>Y41+Z37</f>
      </c>
      <c r="AA41" s="9">
        <f>Z41+AA37</f>
      </c>
      <c r="AB41" s="9">
        <f>AA41+AB37</f>
      </c>
      <c r="AC41" s="9">
        <f>AB41+AC37</f>
      </c>
      <c r="AD41" s="9">
        <f>AC41+AD37</f>
      </c>
      <c r="AE41" s="9">
        <f>AD41+AE37</f>
      </c>
      <c r="AF41" s="9">
        <f>AE41+AF37</f>
      </c>
      <c r="AG41" s="9">
        <f>AF41+AG37</f>
      </c>
      <c r="AH41" s="9">
        <f>AG41+AH37</f>
      </c>
      <c r="AI41" s="9">
        <f>AH41+AI37</f>
      </c>
      <c r="AJ41" s="9">
        <f>AI41+AJ37</f>
      </c>
      <c r="AK41" s="9">
        <f>AJ41+AK37</f>
      </c>
      <c r="AL41" s="9">
        <f>AK41+AL37</f>
      </c>
      <c r="AM41" s="9">
        <f>AL41+AM37</f>
      </c>
      <c r="AN41" s="9">
        <f>AM41+AN37</f>
      </c>
      <c r="AO41" s="9">
        <f>AN41+AO37</f>
      </c>
      <c r="AP41" s="9">
        <f>AO41+AP37</f>
      </c>
      <c r="AQ41" s="9">
        <f>AP41+AQ37</f>
      </c>
      <c r="AR41" s="9">
        <f>AQ41+AR37</f>
      </c>
      <c r="AS41" s="9">
        <f>AR41+AS37</f>
      </c>
      <c r="AT41" s="9">
        <f>AS41+AT37</f>
      </c>
      <c r="AU41" s="9">
        <f>AT41+AU37</f>
      </c>
      <c r="AV41" s="9">
        <f>AU41+AV37</f>
      </c>
      <c r="AW41" s="9">
        <f>AV41+AW37</f>
      </c>
      <c r="AX41" s="9">
        <f>AW41+AX37</f>
      </c>
      <c r="AY41" s="9">
        <f>AX41+AY37</f>
      </c>
      <c r="AZ41" s="9">
        <f>AY41+AZ37</f>
      </c>
      <c r="BA41" s="9">
        <f>AZ41+BA37</f>
      </c>
      <c r="BB41" s="9">
        <f>BA41+BB37</f>
      </c>
      <c r="BC41" s="3"/>
      <c r="BD41" s="3"/>
      <c r="BE41" s="3"/>
    </row>
    <row x14ac:dyDescent="0.25" r="42" customHeight="1" ht="19.5">
      <c r="A42" s="3"/>
      <c r="B42" s="33" t="s">
        <v>468</v>
      </c>
      <c r="C42" s="9">
        <f>C38</f>
      </c>
      <c r="D42" s="9">
        <f>C42+D38</f>
      </c>
      <c r="E42" s="9">
        <f>D42+E38</f>
      </c>
      <c r="F42" s="9">
        <f>E42+F38</f>
      </c>
      <c r="G42" s="9">
        <f>F42+G38</f>
      </c>
      <c r="H42" s="9">
        <f>G42+H38</f>
      </c>
      <c r="I42" s="9">
        <f>H42+I38</f>
      </c>
      <c r="J42" s="9">
        <f>I42+J38</f>
      </c>
      <c r="K42" s="9">
        <f>J42+K38</f>
      </c>
      <c r="L42" s="9">
        <f>K42+L38</f>
      </c>
      <c r="M42" s="9">
        <f>L42+M38</f>
      </c>
      <c r="N42" s="9">
        <f>M42+N38</f>
      </c>
      <c r="O42" s="9">
        <f>N42+O38</f>
      </c>
      <c r="P42" s="9">
        <f>O42+P38</f>
      </c>
      <c r="Q42" s="9">
        <f>P42+Q38</f>
      </c>
      <c r="R42" s="9">
        <f>Q42+R38</f>
      </c>
      <c r="S42" s="9">
        <f>R42+S38</f>
      </c>
      <c r="T42" s="9">
        <f>S42+T38</f>
      </c>
      <c r="U42" s="9">
        <f>T42+U38</f>
      </c>
      <c r="V42" s="9">
        <f>U42+V38</f>
      </c>
      <c r="W42" s="9">
        <f>V42+W38</f>
      </c>
      <c r="X42" s="9">
        <f>W42+X38</f>
      </c>
      <c r="Y42" s="9">
        <f>X42+Y38</f>
      </c>
      <c r="Z42" s="9">
        <f>Y42+Z38</f>
      </c>
      <c r="AA42" s="9">
        <f>Z42+AA38</f>
      </c>
      <c r="AB42" s="9">
        <f>AA42+AB38</f>
      </c>
      <c r="AC42" s="9">
        <f>AB42+AC38</f>
      </c>
      <c r="AD42" s="9">
        <f>AC42+AD38</f>
      </c>
      <c r="AE42" s="9">
        <f>AD42+AE38</f>
      </c>
      <c r="AF42" s="9">
        <f>AE42+AF38</f>
      </c>
      <c r="AG42" s="9">
        <f>AF42+AG38</f>
      </c>
      <c r="AH42" s="9">
        <f>AG42+AH38</f>
      </c>
      <c r="AI42" s="9">
        <f>AH42+AI38</f>
      </c>
      <c r="AJ42" s="9">
        <f>AI42+AJ38</f>
      </c>
      <c r="AK42" s="9">
        <f>AJ42+AK38</f>
      </c>
      <c r="AL42" s="9">
        <f>AK42+AL38</f>
      </c>
      <c r="AM42" s="9">
        <f>AL42+AM38</f>
      </c>
      <c r="AN42" s="9">
        <f>AM42+AN38</f>
      </c>
      <c r="AO42" s="9">
        <f>AN42+AO38</f>
      </c>
      <c r="AP42" s="9">
        <f>AO42+AP38</f>
      </c>
      <c r="AQ42" s="9">
        <f>AP42+AQ38</f>
      </c>
      <c r="AR42" s="9">
        <f>AQ42+AR38</f>
      </c>
      <c r="AS42" s="9">
        <f>AR42+AS38</f>
      </c>
      <c r="AT42" s="9">
        <f>AS42+AT38</f>
      </c>
      <c r="AU42" s="9">
        <f>AT42+AU38</f>
      </c>
      <c r="AV42" s="9">
        <f>AU42+AV38</f>
      </c>
      <c r="AW42" s="9">
        <f>AV42+AW38</f>
      </c>
      <c r="AX42" s="9">
        <f>AW42+AX38</f>
      </c>
      <c r="AY42" s="9">
        <f>AX42+AY38</f>
      </c>
      <c r="AZ42" s="9">
        <f>AY42+AZ38</f>
      </c>
      <c r="BA42" s="9">
        <f>AZ42+BA38</f>
      </c>
      <c r="BB42" s="9">
        <f>BA42+BB38</f>
      </c>
      <c r="BC42" s="3"/>
      <c r="BD42" s="3"/>
      <c r="BE42" s="3"/>
    </row>
    <row x14ac:dyDescent="0.25" r="43" customHeight="1" ht="19.5">
      <c r="A43" s="3"/>
      <c r="B43" s="33" t="s">
        <v>469</v>
      </c>
      <c r="C43" s="9">
        <f>C39</f>
      </c>
      <c r="D43" s="9">
        <f>C43+D39</f>
      </c>
      <c r="E43" s="9">
        <f>D43+E39</f>
      </c>
      <c r="F43" s="9">
        <f>E43+F39</f>
      </c>
      <c r="G43" s="9">
        <f>F43+G39</f>
      </c>
      <c r="H43" s="9">
        <f>G43+H39</f>
      </c>
      <c r="I43" s="9">
        <f>H43+I39</f>
      </c>
      <c r="J43" s="9">
        <f>I43+J39</f>
      </c>
      <c r="K43" s="9">
        <f>J43+K39</f>
      </c>
      <c r="L43" s="9">
        <f>K43+L39</f>
      </c>
      <c r="M43" s="9">
        <f>L43+M39</f>
      </c>
      <c r="N43" s="9">
        <f>M43+N39</f>
      </c>
      <c r="O43" s="9">
        <f>N43+O39</f>
      </c>
      <c r="P43" s="9">
        <f>O43+P39</f>
      </c>
      <c r="Q43" s="9">
        <f>P43+Q39</f>
      </c>
      <c r="R43" s="9">
        <f>Q43+R39</f>
      </c>
      <c r="S43" s="9">
        <f>R43+S39</f>
      </c>
      <c r="T43" s="9">
        <f>S43+T39</f>
      </c>
      <c r="U43" s="9">
        <f>T43+U39</f>
      </c>
      <c r="V43" s="9">
        <f>U43+V39</f>
      </c>
      <c r="W43" s="9">
        <f>V43+W39</f>
      </c>
      <c r="X43" s="9">
        <f>W43+X39</f>
      </c>
      <c r="Y43" s="9">
        <f>X43+Y39</f>
      </c>
      <c r="Z43" s="9">
        <f>Y43+Z39</f>
      </c>
      <c r="AA43" s="9">
        <f>Z43+AA39</f>
      </c>
      <c r="AB43" s="9">
        <f>AA43+AB39</f>
      </c>
      <c r="AC43" s="9">
        <f>AB43+AC39</f>
      </c>
      <c r="AD43" s="9">
        <f>AC43+AD39</f>
      </c>
      <c r="AE43" s="9">
        <f>AD43+AE39</f>
      </c>
      <c r="AF43" s="9">
        <f>AE43+AF39</f>
      </c>
      <c r="AG43" s="9">
        <f>AF43+AG39</f>
      </c>
      <c r="AH43" s="9">
        <f>AG43+AH39</f>
      </c>
      <c r="AI43" s="9">
        <f>AH43+AI39</f>
      </c>
      <c r="AJ43" s="9">
        <f>AI43+AJ39</f>
      </c>
      <c r="AK43" s="9">
        <f>AJ43+AK39</f>
      </c>
      <c r="AL43" s="9">
        <f>AK43+AL39</f>
      </c>
      <c r="AM43" s="9">
        <f>AL43+AM39</f>
      </c>
      <c r="AN43" s="9">
        <f>AM43+AN39</f>
      </c>
      <c r="AO43" s="9">
        <f>AN43+AO39</f>
      </c>
      <c r="AP43" s="9">
        <f>AO43+AP39</f>
      </c>
      <c r="AQ43" s="9">
        <f>AP43+AQ39</f>
      </c>
      <c r="AR43" s="9">
        <f>AQ43+AR39</f>
      </c>
      <c r="AS43" s="9">
        <f>AR43+AS39</f>
      </c>
      <c r="AT43" s="9">
        <f>AS43+AT39</f>
      </c>
      <c r="AU43" s="9">
        <f>AT43+AU39</f>
      </c>
      <c r="AV43" s="9">
        <f>AU43+AV39</f>
      </c>
      <c r="AW43" s="9">
        <f>AV43+AW39</f>
      </c>
      <c r="AX43" s="9">
        <f>AW43+AX39</f>
      </c>
      <c r="AY43" s="9">
        <f>AX43+AY39</f>
      </c>
      <c r="AZ43" s="9">
        <f>AY43+AZ39</f>
      </c>
      <c r="BA43" s="9">
        <f>AZ43+BA39</f>
      </c>
      <c r="BB43" s="9">
        <f>BA43+BB39</f>
      </c>
      <c r="BC43" s="3"/>
      <c r="BD43" s="3"/>
      <c r="BE43" s="3"/>
    </row>
    <row x14ac:dyDescent="0.25" r="44" customHeight="1" ht="19.5">
      <c r="A44" s="3"/>
      <c r="B44" s="33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3"/>
      <c r="BD44" s="3"/>
      <c r="BE44" s="3"/>
    </row>
    <row x14ac:dyDescent="0.25" r="45" customHeight="1" ht="19.5">
      <c r="A45" s="3"/>
      <c r="B45" s="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3"/>
      <c r="BD45" s="3"/>
      <c r="BE45" s="3"/>
    </row>
    <row x14ac:dyDescent="0.25" r="46" customHeight="1" ht="19.5">
      <c r="A46" s="3"/>
      <c r="B46" s="3"/>
      <c r="C46" s="437"/>
      <c r="D46" s="262"/>
      <c r="E46" s="262"/>
      <c r="F46" s="262"/>
      <c r="G46" s="262"/>
      <c r="H46" s="262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3"/>
      <c r="BD46" s="3"/>
      <c r="BE46" s="3"/>
    </row>
    <row x14ac:dyDescent="0.25" r="47" customHeight="1" ht="19.5">
      <c r="A47" s="3"/>
      <c r="B47" s="195" t="s">
        <v>470</v>
      </c>
      <c r="C47" s="9">
        <f>SUMIFS(Data!$AD$3:$AD$178,Data!$X$3:$X$178,C$1,Data!$Y$3:$Y$178,"2022",Data!$K$3:$K$178,'Reporting 2022'!$B15)</f>
      </c>
      <c r="D47" s="9">
        <f>SUMIFS(Data!$AD$3:$AD$178,Data!$X$3:$X$178,D$1,Data!$Y$3:$Y$178,"2022",Data!$K$3:$K$178,'Reporting 2022'!$B15)</f>
      </c>
      <c r="E47" s="9">
        <f>SUMIFS(Data!$AD$3:$AD$178,Data!$X$3:$X$178,E$1,Data!$Y$3:$Y$178,"2022",Data!$K$3:$K$178,'Reporting 2022'!$B15)</f>
      </c>
      <c r="F47" s="9">
        <f>SUMIFS(Data!$AD$3:$AD$178,Data!$X$3:$X$178,F$1,Data!$Y$3:$Y$178,"2022",Data!$K$3:$K$178,'Reporting 2022'!$B15)</f>
      </c>
      <c r="G47" s="9">
        <f>SUMIFS(Data!$AD$3:$AD$178,Data!$X$3:$X$178,G$1,Data!$Y$3:$Y$178,"2022",Data!$K$3:$K$178,'Reporting 2022'!$B15)</f>
      </c>
      <c r="H47" s="9">
        <f>SUMIFS(Data!$AD$3:$AD$178,Data!$X$3:$X$178,H$1,Data!$Y$3:$Y$178,"2022",Data!$K$3:$K$178,'Reporting 2022'!$B15)</f>
      </c>
      <c r="I47" s="9">
        <f>SUMIFS(Data!$AD$3:$AD$178,Data!$X$3:$X$178,I$1,Data!$Y$3:$Y$178,"2022",Data!$K$3:$K$178,'Reporting 2022'!$B15)</f>
      </c>
      <c r="J47" s="9">
        <f>SUMIFS(Data!$AD$3:$AD$178,Data!$X$3:$X$178,J$1,Data!$Y$3:$Y$178,"2022",Data!$K$3:$K$178,'Reporting 2022'!$B15)</f>
      </c>
      <c r="K47" s="9">
        <f>SUMIFS(Data!$AD$3:$AD$178,Data!$X$3:$X$178,K$1,Data!$Y$3:$Y$178,"2022",Data!$K$3:$K$178,'Reporting 2022'!$B15)</f>
      </c>
      <c r="L47" s="9">
        <f>SUMIFS(Data!$AD$3:$AD$178,Data!$X$3:$X$178,L$1,Data!$Y$3:$Y$178,"2022",Data!$K$3:$K$178,'Reporting 2022'!$B15)</f>
      </c>
      <c r="M47" s="9">
        <f>SUMIFS(Data!$AD$3:$AD$178,Data!$X$3:$X$178,M$1,Data!$Y$3:$Y$178,"2022",Data!$K$3:$K$178,'Reporting 2022'!$B15)</f>
      </c>
      <c r="N47" s="9">
        <f>SUMIFS(Data!$AD$3:$AD$178,Data!$X$3:$X$178,N$1,Data!$Y$3:$Y$178,"2022",Data!$K$3:$K$178,'Reporting 2022'!$B15)</f>
      </c>
      <c r="O47" s="9">
        <f>SUMIFS(Data!$AD$3:$AD$178,Data!$X$3:$X$178,O$1,Data!$Y$3:$Y$178,"2022",Data!$K$3:$K$178,'Reporting 2022'!$B15)</f>
      </c>
      <c r="P47" s="9">
        <f>SUMIFS(Data!$AD$3:$AD$178,Data!$X$3:$X$178,P$1,Data!$Y$3:$Y$178,"2022",Data!$K$3:$K$178,'Reporting 2022'!$B15)</f>
      </c>
      <c r="Q47" s="9">
        <f>SUMIFS(Data!$AD$3:$AD$178,Data!$X$3:$X$178,Q$1,Data!$Y$3:$Y$178,"2022",Data!$K$3:$K$178,'Reporting 2022'!$B15)</f>
      </c>
      <c r="R47" s="9">
        <f>SUMIFS(Data!$AD$3:$AD$178,Data!$X$3:$X$178,R$1,Data!$Y$3:$Y$178,"2022",Data!$K$3:$K$178,'Reporting 2022'!$B15)</f>
      </c>
      <c r="S47" s="9">
        <f>SUMIFS(Data!$AD$3:$AD$178,Data!$X$3:$X$178,S$1,Data!$Y$3:$Y$178,"2022",Data!$K$3:$K$178,'Reporting 2022'!$B15)</f>
      </c>
      <c r="T47" s="9">
        <f>SUMIFS(Data!$AD$3:$AD$178,Data!$X$3:$X$178,T$1,Data!$Y$3:$Y$178,"2022",Data!$K$3:$K$178,'Reporting 2022'!$B15)</f>
      </c>
      <c r="U47" s="9">
        <f>SUMIFS(Data!$AD$3:$AD$178,Data!$X$3:$X$178,U$1,Data!$Y$3:$Y$178,"2022",Data!$K$3:$K$178,'Reporting 2022'!$B15)</f>
      </c>
      <c r="V47" s="9">
        <f>SUMIFS(Data!$AD$3:$AD$178,Data!$X$3:$X$178,V$1,Data!$Y$3:$Y$178,"2022",Data!$K$3:$K$178,'Reporting 2022'!$B15)</f>
      </c>
      <c r="W47" s="9">
        <f>SUMIFS(Data!$AD$3:$AD$178,Data!$X$3:$X$178,W$1,Data!$Y$3:$Y$178,"2022",Data!$K$3:$K$178,'Reporting 2022'!$B15)</f>
      </c>
      <c r="X47" s="9">
        <f>SUMIFS(Data!$AD$3:$AD$178,Data!$X$3:$X$178,X$1,Data!$Y$3:$Y$178,"2022",Data!$K$3:$K$178,'Reporting 2022'!$B15)</f>
      </c>
      <c r="Y47" s="9">
        <f>SUMIFS(Data!$AD$3:$AD$178,Data!$X$3:$X$178,Y$1,Data!$Y$3:$Y$178,"2022",Data!$K$3:$K$178,'Reporting 2022'!$B15)</f>
      </c>
      <c r="Z47" s="9">
        <f>SUMIFS(Data!$AD$3:$AD$178,Data!$X$3:$X$178,Z$1,Data!$Y$3:$Y$178,"2022",Data!$K$3:$K$178,'Reporting 2022'!$B15)</f>
      </c>
      <c r="AA47" s="9">
        <f>SUMIFS(Data!$AD$3:$AD$178,Data!$X$3:$X$178,AA$1,Data!$Y$3:$Y$178,"2022",Data!$K$3:$K$178,'Reporting 2022'!$B15)</f>
      </c>
      <c r="AB47" s="9">
        <f>SUMIFS(Data!$AD$3:$AD$178,Data!$X$3:$X$178,AB$1,Data!$Y$3:$Y$178,"2022",Data!$K$3:$K$178,'Reporting 2022'!$B15)</f>
      </c>
      <c r="AC47" s="9">
        <f>SUMIFS(Data!$AD$3:$AD$178,Data!$X$3:$X$178,AC$1,Data!$Y$3:$Y$178,"2022",Data!$K$3:$K$178,'Reporting 2022'!$B15)</f>
      </c>
      <c r="AD47" s="9">
        <f>SUMIFS(Data!$AD$3:$AD$178,Data!$X$3:$X$178,AD$1,Data!$Y$3:$Y$178,"2022",Data!$K$3:$K$178,'Reporting 2022'!$B15)</f>
      </c>
      <c r="AE47" s="9">
        <f>SUMIFS(Data!$AD$3:$AD$178,Data!$X$3:$X$178,AE$1,Data!$Y$3:$Y$178,"2022",Data!$K$3:$K$178,'Reporting 2022'!$B15)</f>
      </c>
      <c r="AF47" s="9">
        <f>SUMIFS(Data!$AD$3:$AD$178,Data!$X$3:$X$178,AF$1,Data!$Y$3:$Y$178,"2022",Data!$K$3:$K$178,'Reporting 2022'!$B15)</f>
      </c>
      <c r="AG47" s="9">
        <f>SUMIFS(Data!$AD$3:$AD$178,Data!$X$3:$X$178,AG$1,Data!$Y$3:$Y$178,"2022",Data!$K$3:$K$178,'Reporting 2022'!$B15)</f>
      </c>
      <c r="AH47" s="9">
        <f>SUMIFS(Data!$AD$3:$AD$178,Data!$X$3:$X$178,AH$1,Data!$Y$3:$Y$178,"2022",Data!$K$3:$K$178,'Reporting 2022'!$B15)</f>
      </c>
      <c r="AI47" s="9">
        <f>SUMIFS(Data!$AD$3:$AD$178,Data!$X$3:$X$178,AI$1,Data!$Y$3:$Y$178,"2022",Data!$K$3:$K$178,'Reporting 2022'!$B15)</f>
      </c>
      <c r="AJ47" s="9">
        <f>SUMIFS(Data!$AD$3:$AD$178,Data!$X$3:$X$178,AJ$1,Data!$Y$3:$Y$178,"2022",Data!$K$3:$K$178,'Reporting 2022'!$B15)</f>
      </c>
      <c r="AK47" s="9">
        <f>SUMIFS(Data!$AD$3:$AD$178,Data!$X$3:$X$178,AK$1,Data!$Y$3:$Y$178,"2022",Data!$K$3:$K$178,'Reporting 2022'!$B15)</f>
      </c>
      <c r="AL47" s="9">
        <f>SUMIFS(Data!$AD$3:$AD$178,Data!$X$3:$X$178,AL$1,Data!$Y$3:$Y$178,"2022",Data!$K$3:$K$178,'Reporting 2022'!$B15)</f>
      </c>
      <c r="AM47" s="9">
        <f>SUMIFS(Data!$AD$3:$AD$178,Data!$X$3:$X$178,AM$1,Data!$Y$3:$Y$178,"2022",Data!$K$3:$K$178,'Reporting 2022'!$B15)</f>
      </c>
      <c r="AN47" s="9">
        <f>SUMIFS(Data!$AD$3:$AD$178,Data!$X$3:$X$178,AN$1,Data!$Y$3:$Y$178,"2022",Data!$K$3:$K$178,'Reporting 2022'!$B15)</f>
      </c>
      <c r="AO47" s="9">
        <f>SUMIFS(Data!$AD$3:$AD$178,Data!$X$3:$X$178,AO$1,Data!$Y$3:$Y$178,"2022",Data!$K$3:$K$178,'Reporting 2022'!$B15)</f>
      </c>
      <c r="AP47" s="9">
        <f>SUMIFS(Data!$AD$3:$AD$178,Data!$X$3:$X$178,AP$1,Data!$Y$3:$Y$178,"2022",Data!$K$3:$K$178,'Reporting 2022'!$B15)</f>
      </c>
      <c r="AQ47" s="9">
        <f>SUMIFS(Data!$AD$3:$AD$178,Data!$X$3:$X$178,AQ$1,Data!$Y$3:$Y$178,"2022",Data!$K$3:$K$178,'Reporting 2022'!$B15)</f>
      </c>
      <c r="AR47" s="9">
        <f>SUMIFS(Data!$AD$3:$AD$178,Data!$X$3:$X$178,AR$1,Data!$Y$3:$Y$178,"2022",Data!$K$3:$K$178,'Reporting 2022'!$B15)</f>
      </c>
      <c r="AS47" s="9">
        <f>SUMIFS(Data!$AD$3:$AD$178,Data!$X$3:$X$178,AS$1,Data!$Y$3:$Y$178,"2022",Data!$K$3:$K$178,'Reporting 2022'!$B15)</f>
      </c>
      <c r="AT47" s="9">
        <f>SUMIFS(Data!$AD$3:$AD$178,Data!$X$3:$X$178,AT$1,Data!$Y$3:$Y$178,"2022",Data!$K$3:$K$178,'Reporting 2022'!$B15)</f>
      </c>
      <c r="AU47" s="9">
        <f>SUMIFS(Data!$AD$3:$AD$178,Data!$X$3:$X$178,AU$1,Data!$Y$3:$Y$178,"2022",Data!$K$3:$K$178,'Reporting 2022'!$B15)</f>
      </c>
      <c r="AV47" s="9">
        <f>SUMIFS(Data!$AD$3:$AD$178,Data!$X$3:$X$178,AV$1,Data!$Y$3:$Y$178,"2022",Data!$K$3:$K$178,'Reporting 2022'!$B15)</f>
      </c>
      <c r="AW47" s="9">
        <f>SUMIFS(Data!$AD$3:$AD$178,Data!$X$3:$X$178,AW$1,Data!$Y$3:$Y$178,"2022",Data!$K$3:$K$178,'Reporting 2022'!$B15)</f>
      </c>
      <c r="AX47" s="9">
        <f>SUMIFS(Data!$AD$3:$AD$178,Data!$X$3:$X$178,AX$1,Data!$Y$3:$Y$178,"2022",Data!$K$3:$K$178,'Reporting 2022'!$B15)</f>
      </c>
      <c r="AY47" s="9">
        <f>SUMIFS(Data!$AD$3:$AD$178,Data!$X$3:$X$178,AY$1,Data!$Y$3:$Y$178,"2022",Data!$K$3:$K$178,'Reporting 2022'!$B15)</f>
      </c>
      <c r="AZ47" s="9">
        <f>SUMIFS(Data!$AD$3:$AD$178,Data!$X$3:$X$178,AZ$1,Data!$Y$3:$Y$178,"2022",Data!$K$3:$K$178,'Reporting 2022'!$B15)</f>
      </c>
      <c r="BA47" s="9">
        <f>SUMIFS(Data!$AD$3:$AD$178,Data!$X$3:$X$178,BA$1,Data!$Y$3:$Y$178,"2022",Data!$K$3:$K$178,'Reporting 2022'!$B15)</f>
      </c>
      <c r="BB47" s="9">
        <f>SUMIFS(Data!$AD$3:$AD$178,Data!$X$3:$X$178,BB$1,Data!$Y$3:$Y$178,"2022",Data!$K$3:$K$178,'Reporting 2022'!$B15)</f>
      </c>
      <c r="BC47" s="3"/>
      <c r="BD47" s="3"/>
      <c r="BE47" s="3"/>
    </row>
    <row x14ac:dyDescent="0.25" r="48" customHeight="1" ht="19.5">
      <c r="A48" s="3"/>
      <c r="B48" s="195" t="s">
        <v>471</v>
      </c>
      <c r="C48" s="9">
        <f>SUMIFS(Data!$AD$3:$AD$178,Data!$X$3:$X$178,C$1,Data!$Y$3:$Y$178,"2022",Data!$K$3:$K$178,'Reporting 2022'!$B16)</f>
      </c>
      <c r="D48" s="9">
        <f>SUMIFS(Data!$AD$3:$AD$178,Data!$X$3:$X$178,D$1,Data!$Y$3:$Y$178,"2022",Data!$K$3:$K$178,'Reporting 2022'!$B16)</f>
      </c>
      <c r="E48" s="9">
        <f>SUMIFS(Data!$AD$3:$AD$178,Data!$X$3:$X$178,E$1,Data!$Y$3:$Y$178,"2022",Data!$K$3:$K$178,'Reporting 2022'!$B16)</f>
      </c>
      <c r="F48" s="9">
        <f>SUMIFS(Data!$AD$3:$AD$178,Data!$X$3:$X$178,F$1,Data!$Y$3:$Y$178,"2022",Data!$K$3:$K$178,'Reporting 2022'!$B16)</f>
      </c>
      <c r="G48" s="9">
        <f>SUMIFS(Data!$AD$3:$AD$178,Data!$X$3:$X$178,G$1,Data!$Y$3:$Y$178,"2022",Data!$K$3:$K$178,'Reporting 2022'!$B16)</f>
      </c>
      <c r="H48" s="9">
        <f>SUMIFS(Data!$AD$3:$AD$178,Data!$X$3:$X$178,H$1,Data!$Y$3:$Y$178,"2022",Data!$K$3:$K$178,'Reporting 2022'!$B16)</f>
      </c>
      <c r="I48" s="9">
        <f>SUMIFS(Data!$AD$3:$AD$178,Data!$X$3:$X$178,I$1,Data!$Y$3:$Y$178,"2022",Data!$K$3:$K$178,'Reporting 2022'!$B16)</f>
      </c>
      <c r="J48" s="9">
        <f>SUMIFS(Data!$AD$3:$AD$178,Data!$X$3:$X$178,J$1,Data!$Y$3:$Y$178,"2022",Data!$K$3:$K$178,'Reporting 2022'!$B16)</f>
      </c>
      <c r="K48" s="9">
        <f>SUMIFS(Data!$AD$3:$AD$178,Data!$X$3:$X$178,K$1,Data!$Y$3:$Y$178,"2022",Data!$K$3:$K$178,'Reporting 2022'!$B16)</f>
      </c>
      <c r="L48" s="9">
        <f>SUMIFS(Data!$AD$3:$AD$178,Data!$X$3:$X$178,L$1,Data!$Y$3:$Y$178,"2022",Data!$K$3:$K$178,'Reporting 2022'!$B16)</f>
      </c>
      <c r="M48" s="9">
        <f>SUMIFS(Data!$AD$3:$AD$178,Data!$X$3:$X$178,M$1,Data!$Y$3:$Y$178,"2022",Data!$K$3:$K$178,'Reporting 2022'!$B16)</f>
      </c>
      <c r="N48" s="9">
        <f>SUMIFS(Data!$AD$3:$AD$178,Data!$X$3:$X$178,N$1,Data!$Y$3:$Y$178,"2022",Data!$K$3:$K$178,'Reporting 2022'!$B16)</f>
      </c>
      <c r="O48" s="9">
        <f>SUMIFS(Data!$AD$3:$AD$178,Data!$X$3:$X$178,O$1,Data!$Y$3:$Y$178,"2022",Data!$K$3:$K$178,'Reporting 2022'!$B16)</f>
      </c>
      <c r="P48" s="9">
        <f>SUMIFS(Data!$AD$3:$AD$178,Data!$X$3:$X$178,P$1,Data!$Y$3:$Y$178,"2022",Data!$K$3:$K$178,'Reporting 2022'!$B16)</f>
      </c>
      <c r="Q48" s="9">
        <f>SUMIFS(Data!$AD$3:$AD$178,Data!$X$3:$X$178,Q$1,Data!$Y$3:$Y$178,"2022",Data!$K$3:$K$178,'Reporting 2022'!$B16)</f>
      </c>
      <c r="R48" s="9">
        <f>SUMIFS(Data!$AD$3:$AD$178,Data!$X$3:$X$178,R$1,Data!$Y$3:$Y$178,"2022",Data!$K$3:$K$178,'Reporting 2022'!$B16)</f>
      </c>
      <c r="S48" s="9">
        <f>SUMIFS(Data!$AD$3:$AD$178,Data!$X$3:$X$178,S$1,Data!$Y$3:$Y$178,"2022",Data!$K$3:$K$178,'Reporting 2022'!$B16)</f>
      </c>
      <c r="T48" s="9">
        <f>SUMIFS(Data!$AD$3:$AD$178,Data!$X$3:$X$178,T$1,Data!$Y$3:$Y$178,"2022",Data!$K$3:$K$178,'Reporting 2022'!$B16)</f>
      </c>
      <c r="U48" s="9">
        <f>SUMIFS(Data!$AD$3:$AD$178,Data!$X$3:$X$178,U$1,Data!$Y$3:$Y$178,"2022",Data!$K$3:$K$178,'Reporting 2022'!$B16)</f>
      </c>
      <c r="V48" s="9">
        <f>SUMIFS(Data!$AD$3:$AD$178,Data!$X$3:$X$178,V$1,Data!$Y$3:$Y$178,"2022",Data!$K$3:$K$178,'Reporting 2022'!$B16)</f>
      </c>
      <c r="W48" s="9">
        <f>SUMIFS(Data!$AD$3:$AD$178,Data!$X$3:$X$178,W$1,Data!$Y$3:$Y$178,"2022",Data!$K$3:$K$178,'Reporting 2022'!$B16)</f>
      </c>
      <c r="X48" s="9">
        <f>SUMIFS(Data!$AD$3:$AD$178,Data!$X$3:$X$178,X$1,Data!$Y$3:$Y$178,"2022",Data!$K$3:$K$178,'Reporting 2022'!$B16)</f>
      </c>
      <c r="Y48" s="9">
        <f>SUMIFS(Data!$AD$3:$AD$178,Data!$X$3:$X$178,Y$1,Data!$Y$3:$Y$178,"2022",Data!$K$3:$K$178,'Reporting 2022'!$B16)</f>
      </c>
      <c r="Z48" s="9">
        <f>SUMIFS(Data!$AD$3:$AD$178,Data!$X$3:$X$178,Z$1,Data!$Y$3:$Y$178,"2022",Data!$K$3:$K$178,'Reporting 2022'!$B16)</f>
      </c>
      <c r="AA48" s="9">
        <f>SUMIFS(Data!$AD$3:$AD$178,Data!$X$3:$X$178,AA$1,Data!$Y$3:$Y$178,"2022",Data!$K$3:$K$178,'Reporting 2022'!$B16)</f>
      </c>
      <c r="AB48" s="9">
        <f>SUMIFS(Data!$AD$3:$AD$178,Data!$X$3:$X$178,AB$1,Data!$Y$3:$Y$178,"2022",Data!$K$3:$K$178,'Reporting 2022'!$B16)</f>
      </c>
      <c r="AC48" s="9">
        <f>SUMIFS(Data!$AD$3:$AD$178,Data!$X$3:$X$178,AC$1,Data!$Y$3:$Y$178,"2022",Data!$K$3:$K$178,'Reporting 2022'!$B16)</f>
      </c>
      <c r="AD48" s="9">
        <f>SUMIFS(Data!$AD$3:$AD$178,Data!$X$3:$X$178,AD$1,Data!$Y$3:$Y$178,"2022",Data!$K$3:$K$178,'Reporting 2022'!$B16)</f>
      </c>
      <c r="AE48" s="9">
        <f>SUMIFS(Data!$AD$3:$AD$178,Data!$X$3:$X$178,AE$1,Data!$Y$3:$Y$178,"2022",Data!$K$3:$K$178,'Reporting 2022'!$B16)</f>
      </c>
      <c r="AF48" s="9">
        <f>SUMIFS(Data!$AD$3:$AD$178,Data!$X$3:$X$178,AF$1,Data!$Y$3:$Y$178,"2022",Data!$K$3:$K$178,'Reporting 2022'!$B16)</f>
      </c>
      <c r="AG48" s="9">
        <f>SUMIFS(Data!$AD$3:$AD$178,Data!$X$3:$X$178,AG$1,Data!$Y$3:$Y$178,"2022",Data!$K$3:$K$178,'Reporting 2022'!$B16)</f>
      </c>
      <c r="AH48" s="9">
        <f>SUMIFS(Data!$AD$3:$AD$178,Data!$X$3:$X$178,AH$1,Data!$Y$3:$Y$178,"2022",Data!$K$3:$K$178,'Reporting 2022'!$B16)</f>
      </c>
      <c r="AI48" s="9">
        <f>SUMIFS(Data!$AD$3:$AD$178,Data!$X$3:$X$178,AI$1,Data!$Y$3:$Y$178,"2022",Data!$K$3:$K$178,'Reporting 2022'!$B16)</f>
      </c>
      <c r="AJ48" s="9">
        <f>SUMIFS(Data!$AD$3:$AD$178,Data!$X$3:$X$178,AJ$1,Data!$Y$3:$Y$178,"2022",Data!$K$3:$K$178,'Reporting 2022'!$B16)</f>
      </c>
      <c r="AK48" s="9">
        <f>SUMIFS(Data!$AD$3:$AD$178,Data!$X$3:$X$178,AK$1,Data!$Y$3:$Y$178,"2022",Data!$K$3:$K$178,'Reporting 2022'!$B16)</f>
      </c>
      <c r="AL48" s="9">
        <f>SUMIFS(Data!$AD$3:$AD$178,Data!$X$3:$X$178,AL$1,Data!$Y$3:$Y$178,"2022",Data!$K$3:$K$178,'Reporting 2022'!$B16)</f>
      </c>
      <c r="AM48" s="9">
        <f>SUMIFS(Data!$AD$3:$AD$178,Data!$X$3:$X$178,AM$1,Data!$Y$3:$Y$178,"2022",Data!$K$3:$K$178,'Reporting 2022'!$B16)</f>
      </c>
      <c r="AN48" s="9">
        <f>SUMIFS(Data!$AD$3:$AD$178,Data!$X$3:$X$178,AN$1,Data!$Y$3:$Y$178,"2022",Data!$K$3:$K$178,'Reporting 2022'!$B16)</f>
      </c>
      <c r="AO48" s="9">
        <f>SUMIFS(Data!$AD$3:$AD$178,Data!$X$3:$X$178,AO$1,Data!$Y$3:$Y$178,"2022",Data!$K$3:$K$178,'Reporting 2022'!$B16)</f>
      </c>
      <c r="AP48" s="9">
        <f>SUMIFS(Data!$AD$3:$AD$178,Data!$X$3:$X$178,AP$1,Data!$Y$3:$Y$178,"2022",Data!$K$3:$K$178,'Reporting 2022'!$B16)</f>
      </c>
      <c r="AQ48" s="9">
        <f>SUMIFS(Data!$AD$3:$AD$178,Data!$X$3:$X$178,AQ$1,Data!$Y$3:$Y$178,"2022",Data!$K$3:$K$178,'Reporting 2022'!$B16)</f>
      </c>
      <c r="AR48" s="9">
        <f>SUMIFS(Data!$AD$3:$AD$178,Data!$X$3:$X$178,AR$1,Data!$Y$3:$Y$178,"2022",Data!$K$3:$K$178,'Reporting 2022'!$B16)</f>
      </c>
      <c r="AS48" s="9">
        <f>SUMIFS(Data!$AD$3:$AD$178,Data!$X$3:$X$178,AS$1,Data!$Y$3:$Y$178,"2022",Data!$K$3:$K$178,'Reporting 2022'!$B16)</f>
      </c>
      <c r="AT48" s="9">
        <f>SUMIFS(Data!$AD$3:$AD$178,Data!$X$3:$X$178,AT$1,Data!$Y$3:$Y$178,"2022",Data!$K$3:$K$178,'Reporting 2022'!$B16)</f>
      </c>
      <c r="AU48" s="9">
        <f>SUMIFS(Data!$AD$3:$AD$178,Data!$X$3:$X$178,AU$1,Data!$Y$3:$Y$178,"2022",Data!$K$3:$K$178,'Reporting 2022'!$B16)</f>
      </c>
      <c r="AV48" s="9">
        <f>SUMIFS(Data!$AD$3:$AD$178,Data!$X$3:$X$178,AV$1,Data!$Y$3:$Y$178,"2022",Data!$K$3:$K$178,'Reporting 2022'!$B16)</f>
      </c>
      <c r="AW48" s="9">
        <f>SUMIFS(Data!$AD$3:$AD$178,Data!$X$3:$X$178,AW$1,Data!$Y$3:$Y$178,"2022",Data!$K$3:$K$178,'Reporting 2022'!$B16)</f>
      </c>
      <c r="AX48" s="9">
        <f>SUMIFS(Data!$AD$3:$AD$178,Data!$X$3:$X$178,AX$1,Data!$Y$3:$Y$178,"2022",Data!$K$3:$K$178,'Reporting 2022'!$B16)</f>
      </c>
      <c r="AY48" s="9">
        <f>SUMIFS(Data!$AD$3:$AD$178,Data!$X$3:$X$178,AY$1,Data!$Y$3:$Y$178,"2022",Data!$K$3:$K$178,'Reporting 2022'!$B16)</f>
      </c>
      <c r="AZ48" s="9">
        <f>SUMIFS(Data!$AD$3:$AD$178,Data!$X$3:$X$178,AZ$1,Data!$Y$3:$Y$178,"2022",Data!$K$3:$K$178,'Reporting 2022'!$B16)</f>
      </c>
      <c r="BA48" s="9">
        <f>SUMIFS(Data!$AD$3:$AD$178,Data!$X$3:$X$178,BA$1,Data!$Y$3:$Y$178,"2022",Data!$K$3:$K$178,'Reporting 2022'!$B16)</f>
      </c>
      <c r="BB48" s="9">
        <f>SUMIFS(Data!$AD$3:$AD$178,Data!$X$3:$X$178,BB$1,Data!$Y$3:$Y$178,"2022",Data!$K$3:$K$178,'Reporting 2022'!$B16)</f>
      </c>
      <c r="BC48" s="3"/>
      <c r="BD48" s="3"/>
      <c r="BE48" s="3"/>
    </row>
    <row x14ac:dyDescent="0.25" r="49" customHeight="1" ht="19.5">
      <c r="A49" s="3"/>
      <c r="B49" s="195" t="s">
        <v>472</v>
      </c>
      <c r="C49" s="9">
        <f>SUMIFS(Data!$AD$3:$AD$178,Data!$X$3:$X$178,C$1,Data!$Y$3:$Y$178,"2022",Data!$K$3:$K$178,'Reporting 2022'!$B17)</f>
      </c>
      <c r="D49" s="9">
        <f>SUMIFS(Data!$AD$3:$AD$178,Data!$X$3:$X$178,D$1,Data!$Y$3:$Y$178,"2022",Data!$K$3:$K$178,'Reporting 2022'!$B17)</f>
      </c>
      <c r="E49" s="9">
        <f>SUMIFS(Data!$AD$3:$AD$178,Data!$X$3:$X$178,E$1,Data!$Y$3:$Y$178,"2022",Data!$K$3:$K$178,'Reporting 2022'!$B17)</f>
      </c>
      <c r="F49" s="9">
        <f>SUMIFS(Data!$AD$3:$AD$178,Data!$X$3:$X$178,F$1,Data!$Y$3:$Y$178,"2022",Data!$K$3:$K$178,'Reporting 2022'!$B17)</f>
      </c>
      <c r="G49" s="9">
        <f>SUMIFS(Data!$AD$3:$AD$178,Data!$X$3:$X$178,G$1,Data!$Y$3:$Y$178,"2022",Data!$K$3:$K$178,'Reporting 2022'!$B17)</f>
      </c>
      <c r="H49" s="9">
        <f>SUMIFS(Data!$AD$3:$AD$178,Data!$X$3:$X$178,H$1,Data!$Y$3:$Y$178,"2022",Data!$K$3:$K$178,'Reporting 2022'!$B17)</f>
      </c>
      <c r="I49" s="9">
        <f>SUMIFS(Data!$AD$3:$AD$178,Data!$X$3:$X$178,I$1,Data!$Y$3:$Y$178,"2022",Data!$K$3:$K$178,'Reporting 2022'!$B17)</f>
      </c>
      <c r="J49" s="9">
        <f>SUMIFS(Data!$AD$3:$AD$178,Data!$X$3:$X$178,J$1,Data!$Y$3:$Y$178,"2022",Data!$K$3:$K$178,'Reporting 2022'!$B17)</f>
      </c>
      <c r="K49" s="9">
        <f>SUMIFS(Data!$AD$3:$AD$178,Data!$X$3:$X$178,K$1,Data!$Y$3:$Y$178,"2022",Data!$K$3:$K$178,'Reporting 2022'!$B17)</f>
      </c>
      <c r="L49" s="9">
        <f>SUMIFS(Data!$AD$3:$AD$178,Data!$X$3:$X$178,L$1,Data!$Y$3:$Y$178,"2022",Data!$K$3:$K$178,'Reporting 2022'!$B17)</f>
      </c>
      <c r="M49" s="9">
        <f>SUMIFS(Data!$AD$3:$AD$178,Data!$X$3:$X$178,M$1,Data!$Y$3:$Y$178,"2022",Data!$K$3:$K$178,'Reporting 2022'!$B17)</f>
      </c>
      <c r="N49" s="9">
        <f>SUMIFS(Data!$AD$3:$AD$178,Data!$X$3:$X$178,N$1,Data!$Y$3:$Y$178,"2022",Data!$K$3:$K$178,'Reporting 2022'!$B17)</f>
      </c>
      <c r="O49" s="9">
        <f>SUMIFS(Data!$AD$3:$AD$178,Data!$X$3:$X$178,O$1,Data!$Y$3:$Y$178,"2022",Data!$K$3:$K$178,'Reporting 2022'!$B17)</f>
      </c>
      <c r="P49" s="9">
        <f>SUMIFS(Data!$AD$3:$AD$178,Data!$X$3:$X$178,P$1,Data!$Y$3:$Y$178,"2022",Data!$K$3:$K$178,'Reporting 2022'!$B17)</f>
      </c>
      <c r="Q49" s="9">
        <f>SUMIFS(Data!$AD$3:$AD$178,Data!$X$3:$X$178,Q$1,Data!$Y$3:$Y$178,"2022",Data!$K$3:$K$178,'Reporting 2022'!$B17)</f>
      </c>
      <c r="R49" s="9">
        <f>SUMIFS(Data!$AD$3:$AD$178,Data!$X$3:$X$178,R$1,Data!$Y$3:$Y$178,"2022",Data!$K$3:$K$178,'Reporting 2022'!$B17)</f>
      </c>
      <c r="S49" s="9">
        <f>SUMIFS(Data!$AD$3:$AD$178,Data!$X$3:$X$178,S$1,Data!$Y$3:$Y$178,"2022",Data!$K$3:$K$178,'Reporting 2022'!$B17)</f>
      </c>
      <c r="T49" s="9">
        <f>SUMIFS(Data!$AD$3:$AD$178,Data!$X$3:$X$178,T$1,Data!$Y$3:$Y$178,"2022",Data!$K$3:$K$178,'Reporting 2022'!$B17)</f>
      </c>
      <c r="U49" s="9">
        <f>SUMIFS(Data!$AD$3:$AD$178,Data!$X$3:$X$178,U$1,Data!$Y$3:$Y$178,"2022",Data!$K$3:$K$178,'Reporting 2022'!$B17)</f>
      </c>
      <c r="V49" s="9">
        <f>SUMIFS(Data!$AD$3:$AD$178,Data!$X$3:$X$178,V$1,Data!$Y$3:$Y$178,"2022",Data!$K$3:$K$178,'Reporting 2022'!$B17)</f>
      </c>
      <c r="W49" s="9">
        <f>SUMIFS(Data!$AD$3:$AD$178,Data!$X$3:$X$178,W$1,Data!$Y$3:$Y$178,"2022",Data!$K$3:$K$178,'Reporting 2022'!$B17)</f>
      </c>
      <c r="X49" s="9">
        <f>SUMIFS(Data!$AD$3:$AD$178,Data!$X$3:$X$178,X$1,Data!$Y$3:$Y$178,"2022",Data!$K$3:$K$178,'Reporting 2022'!$B17)</f>
      </c>
      <c r="Y49" s="9">
        <f>SUMIFS(Data!$AD$3:$AD$178,Data!$X$3:$X$178,Y$1,Data!$Y$3:$Y$178,"2022",Data!$K$3:$K$178,'Reporting 2022'!$B17)</f>
      </c>
      <c r="Z49" s="9">
        <f>SUMIFS(Data!$AD$3:$AD$178,Data!$X$3:$X$178,Z$1,Data!$Y$3:$Y$178,"2022",Data!$K$3:$K$178,'Reporting 2022'!$B17)</f>
      </c>
      <c r="AA49" s="9">
        <f>SUMIFS(Data!$AD$3:$AD$178,Data!$X$3:$X$178,AA$1,Data!$Y$3:$Y$178,"2022",Data!$K$3:$K$178,'Reporting 2022'!$B17)</f>
      </c>
      <c r="AB49" s="9">
        <f>SUMIFS(Data!$AD$3:$AD$178,Data!$X$3:$X$178,AB$1,Data!$Y$3:$Y$178,"2022",Data!$K$3:$K$178,'Reporting 2022'!$B17)</f>
      </c>
      <c r="AC49" s="9">
        <f>SUMIFS(Data!$AD$3:$AD$178,Data!$X$3:$X$178,AC$1,Data!$Y$3:$Y$178,"2022",Data!$K$3:$K$178,'Reporting 2022'!$B17)</f>
      </c>
      <c r="AD49" s="9">
        <f>SUMIFS(Data!$AD$3:$AD$178,Data!$X$3:$X$178,AD$1,Data!$Y$3:$Y$178,"2022",Data!$K$3:$K$178,'Reporting 2022'!$B17)</f>
      </c>
      <c r="AE49" s="9">
        <f>SUMIFS(Data!$AD$3:$AD$178,Data!$X$3:$X$178,AE$1,Data!$Y$3:$Y$178,"2022",Data!$K$3:$K$178,'Reporting 2022'!$B17)</f>
      </c>
      <c r="AF49" s="9">
        <f>SUMIFS(Data!$AD$3:$AD$178,Data!$X$3:$X$178,AF$1,Data!$Y$3:$Y$178,"2022",Data!$K$3:$K$178,'Reporting 2022'!$B17)</f>
      </c>
      <c r="AG49" s="9">
        <f>SUMIFS(Data!$AD$3:$AD$178,Data!$X$3:$X$178,AG$1,Data!$Y$3:$Y$178,"2022",Data!$K$3:$K$178,'Reporting 2022'!$B17)</f>
      </c>
      <c r="AH49" s="9">
        <f>SUMIFS(Data!$AD$3:$AD$178,Data!$X$3:$X$178,AH$1,Data!$Y$3:$Y$178,"2022",Data!$K$3:$K$178,'Reporting 2022'!$B17)</f>
      </c>
      <c r="AI49" s="9">
        <f>SUMIFS(Data!$AD$3:$AD$178,Data!$X$3:$X$178,AI$1,Data!$Y$3:$Y$178,"2022",Data!$K$3:$K$178,'Reporting 2022'!$B17)</f>
      </c>
      <c r="AJ49" s="9">
        <f>SUMIFS(Data!$AD$3:$AD$178,Data!$X$3:$X$178,AJ$1,Data!$Y$3:$Y$178,"2022",Data!$K$3:$K$178,'Reporting 2022'!$B17)</f>
      </c>
      <c r="AK49" s="9">
        <f>SUMIFS(Data!$AD$3:$AD$178,Data!$X$3:$X$178,AK$1,Data!$Y$3:$Y$178,"2022",Data!$K$3:$K$178,'Reporting 2022'!$B17)</f>
      </c>
      <c r="AL49" s="9">
        <f>SUMIFS(Data!$AD$3:$AD$178,Data!$X$3:$X$178,AL$1,Data!$Y$3:$Y$178,"2022",Data!$K$3:$K$178,'Reporting 2022'!$B17)</f>
      </c>
      <c r="AM49" s="9">
        <f>SUMIFS(Data!$AD$3:$AD$178,Data!$X$3:$X$178,AM$1,Data!$Y$3:$Y$178,"2022",Data!$K$3:$K$178,'Reporting 2022'!$B17)</f>
      </c>
      <c r="AN49" s="9">
        <f>SUMIFS(Data!$AD$3:$AD$178,Data!$X$3:$X$178,AN$1,Data!$Y$3:$Y$178,"2022",Data!$K$3:$K$178,'Reporting 2022'!$B17)</f>
      </c>
      <c r="AO49" s="9">
        <f>SUMIFS(Data!$AD$3:$AD$178,Data!$X$3:$X$178,AO$1,Data!$Y$3:$Y$178,"2022",Data!$K$3:$K$178,'Reporting 2022'!$B17)</f>
      </c>
      <c r="AP49" s="9">
        <f>SUMIFS(Data!$AD$3:$AD$178,Data!$X$3:$X$178,AP$1,Data!$Y$3:$Y$178,"2022",Data!$K$3:$K$178,'Reporting 2022'!$B17)</f>
      </c>
      <c r="AQ49" s="9">
        <f>SUMIFS(Data!$AD$3:$AD$178,Data!$X$3:$X$178,AQ$1,Data!$Y$3:$Y$178,"2022",Data!$K$3:$K$178,'Reporting 2022'!$B17)</f>
      </c>
      <c r="AR49" s="9">
        <f>SUMIFS(Data!$AD$3:$AD$178,Data!$X$3:$X$178,AR$1,Data!$Y$3:$Y$178,"2022",Data!$K$3:$K$178,'Reporting 2022'!$B17)</f>
      </c>
      <c r="AS49" s="9">
        <f>SUMIFS(Data!$AD$3:$AD$178,Data!$X$3:$X$178,AS$1,Data!$Y$3:$Y$178,"2022",Data!$K$3:$K$178,'Reporting 2022'!$B17)</f>
      </c>
      <c r="AT49" s="9">
        <f>SUMIFS(Data!$AD$3:$AD$178,Data!$X$3:$X$178,AT$1,Data!$Y$3:$Y$178,"2022",Data!$K$3:$K$178,'Reporting 2022'!$B17)</f>
      </c>
      <c r="AU49" s="9">
        <f>SUMIFS(Data!$AD$3:$AD$178,Data!$X$3:$X$178,AU$1,Data!$Y$3:$Y$178,"2022",Data!$K$3:$K$178,'Reporting 2022'!$B17)</f>
      </c>
      <c r="AV49" s="9">
        <f>SUMIFS(Data!$AD$3:$AD$178,Data!$X$3:$X$178,AV$1,Data!$Y$3:$Y$178,"2022",Data!$K$3:$K$178,'Reporting 2022'!$B17)</f>
      </c>
      <c r="AW49" s="9">
        <f>SUMIFS(Data!$AD$3:$AD$178,Data!$X$3:$X$178,AW$1,Data!$Y$3:$Y$178,"2022",Data!$K$3:$K$178,'Reporting 2022'!$B17)</f>
      </c>
      <c r="AX49" s="9">
        <f>SUMIFS(Data!$AD$3:$AD$178,Data!$X$3:$X$178,AX$1,Data!$Y$3:$Y$178,"2022",Data!$K$3:$K$178,'Reporting 2022'!$B17)</f>
      </c>
      <c r="AY49" s="9">
        <f>SUMIFS(Data!$AD$3:$AD$178,Data!$X$3:$X$178,AY$1,Data!$Y$3:$Y$178,"2022",Data!$K$3:$K$178,'Reporting 2022'!$B17)</f>
      </c>
      <c r="AZ49" s="9">
        <f>SUMIFS(Data!$AD$3:$AD$178,Data!$X$3:$X$178,AZ$1,Data!$Y$3:$Y$178,"2022",Data!$K$3:$K$178,'Reporting 2022'!$B17)</f>
      </c>
      <c r="BA49" s="9">
        <f>SUMIFS(Data!$AD$3:$AD$178,Data!$X$3:$X$178,BA$1,Data!$Y$3:$Y$178,"2022",Data!$K$3:$K$178,'Reporting 2022'!$B17)</f>
      </c>
      <c r="BB49" s="9">
        <f>SUMIFS(Data!$AD$3:$AD$178,Data!$X$3:$X$178,BB$1,Data!$Y$3:$Y$178,"2022",Data!$K$3:$K$178,'Reporting 2022'!$B17)</f>
      </c>
      <c r="BC49" s="3"/>
      <c r="BD49" s="3"/>
      <c r="BE49" s="3"/>
    </row>
    <row x14ac:dyDescent="0.25" r="50" customHeight="1" ht="19.5">
      <c r="A50" s="3"/>
      <c r="B50" s="195" t="s">
        <v>473</v>
      </c>
      <c r="C50" s="9">
        <f>SUMIFS(Data!$AD$3:$AD$178,Data!$X$3:$X$178,C$1,Data!$Y$3:$Y$178,"2022",Data!$K$3:$K$178,'Reporting 2022'!$B18)</f>
      </c>
      <c r="D50" s="9">
        <f>SUMIFS(Data!$AD$3:$AD$178,Data!$X$3:$X$178,D$1,Data!$Y$3:$Y$178,"2022",Data!$K$3:$K$178,'Reporting 2022'!$B18)</f>
      </c>
      <c r="E50" s="9">
        <f>SUMIFS(Data!$AD$3:$AD$178,Data!$X$3:$X$178,E$1,Data!$Y$3:$Y$178,"2022",Data!$K$3:$K$178,'Reporting 2022'!$B18)</f>
      </c>
      <c r="F50" s="9">
        <f>SUMIFS(Data!$AD$3:$AD$178,Data!$X$3:$X$178,F$1,Data!$Y$3:$Y$178,"2022",Data!$K$3:$K$178,'Reporting 2022'!$B18)</f>
      </c>
      <c r="G50" s="9">
        <f>SUMIFS(Data!$AD$3:$AD$178,Data!$X$3:$X$178,G$1,Data!$Y$3:$Y$178,"2022",Data!$K$3:$K$178,'Reporting 2022'!$B18)</f>
      </c>
      <c r="H50" s="9">
        <f>SUMIFS(Data!$AD$3:$AD$178,Data!$X$3:$X$178,H$1,Data!$Y$3:$Y$178,"2022",Data!$K$3:$K$178,'Reporting 2022'!$B18)</f>
      </c>
      <c r="I50" s="9">
        <f>SUMIFS(Data!$AD$3:$AD$178,Data!$X$3:$X$178,I$1,Data!$Y$3:$Y$178,"2022",Data!$K$3:$K$178,'Reporting 2022'!$B18)</f>
      </c>
      <c r="J50" s="9">
        <f>SUMIFS(Data!$AD$3:$AD$178,Data!$X$3:$X$178,J$1,Data!$Y$3:$Y$178,"2022",Data!$K$3:$K$178,'Reporting 2022'!$B18)</f>
      </c>
      <c r="K50" s="9">
        <f>SUMIFS(Data!$AD$3:$AD$178,Data!$X$3:$X$178,K$1,Data!$Y$3:$Y$178,"2022",Data!$K$3:$K$178,'Reporting 2022'!$B18)</f>
      </c>
      <c r="L50" s="9">
        <f>SUMIFS(Data!$AD$3:$AD$178,Data!$X$3:$X$178,L$1,Data!$Y$3:$Y$178,"2022",Data!$K$3:$K$178,'Reporting 2022'!$B18)</f>
      </c>
      <c r="M50" s="9">
        <f>SUMIFS(Data!$AD$3:$AD$178,Data!$X$3:$X$178,M$1,Data!$Y$3:$Y$178,"2022",Data!$K$3:$K$178,'Reporting 2022'!$B18)</f>
      </c>
      <c r="N50" s="9">
        <f>SUMIFS(Data!$AD$3:$AD$178,Data!$X$3:$X$178,N$1,Data!$Y$3:$Y$178,"2022",Data!$K$3:$K$178,'Reporting 2022'!$B18)</f>
      </c>
      <c r="O50" s="9">
        <f>SUMIFS(Data!$AD$3:$AD$178,Data!$X$3:$X$178,O$1,Data!$Y$3:$Y$178,"2022",Data!$K$3:$K$178,'Reporting 2022'!$B18)</f>
      </c>
      <c r="P50" s="9">
        <f>SUMIFS(Data!$AD$3:$AD$178,Data!$X$3:$X$178,P$1,Data!$Y$3:$Y$178,"2022",Data!$K$3:$K$178,'Reporting 2022'!$B18)</f>
      </c>
      <c r="Q50" s="9">
        <f>SUMIFS(Data!$AD$3:$AD$178,Data!$X$3:$X$178,Q$1,Data!$Y$3:$Y$178,"2022",Data!$K$3:$K$178,'Reporting 2022'!$B18)</f>
      </c>
      <c r="R50" s="9">
        <f>SUMIFS(Data!$AD$3:$AD$178,Data!$X$3:$X$178,R$1,Data!$Y$3:$Y$178,"2022",Data!$K$3:$K$178,'Reporting 2022'!$B18)</f>
      </c>
      <c r="S50" s="9">
        <f>SUMIFS(Data!$AD$3:$AD$178,Data!$X$3:$X$178,S$1,Data!$Y$3:$Y$178,"2022",Data!$K$3:$K$178,'Reporting 2022'!$B18)</f>
      </c>
      <c r="T50" s="9">
        <f>SUMIFS(Data!$AD$3:$AD$178,Data!$X$3:$X$178,T$1,Data!$Y$3:$Y$178,"2022",Data!$K$3:$K$178,'Reporting 2022'!$B18)</f>
      </c>
      <c r="U50" s="9">
        <f>SUMIFS(Data!$AD$3:$AD$178,Data!$X$3:$X$178,U$1,Data!$Y$3:$Y$178,"2022",Data!$K$3:$K$178,'Reporting 2022'!$B18)</f>
      </c>
      <c r="V50" s="9">
        <f>SUMIFS(Data!$AD$3:$AD$178,Data!$X$3:$X$178,V$1,Data!$Y$3:$Y$178,"2022",Data!$K$3:$K$178,'Reporting 2022'!$B18)</f>
      </c>
      <c r="W50" s="9">
        <f>SUMIFS(Data!$AD$3:$AD$178,Data!$X$3:$X$178,W$1,Data!$Y$3:$Y$178,"2022",Data!$K$3:$K$178,'Reporting 2022'!$B18)</f>
      </c>
      <c r="X50" s="9">
        <f>SUMIFS(Data!$AD$3:$AD$178,Data!$X$3:$X$178,X$1,Data!$Y$3:$Y$178,"2022",Data!$K$3:$K$178,'Reporting 2022'!$B18)</f>
      </c>
      <c r="Y50" s="9">
        <f>SUMIFS(Data!$AD$3:$AD$178,Data!$X$3:$X$178,Y$1,Data!$Y$3:$Y$178,"2022",Data!$K$3:$K$178,'Reporting 2022'!$B18)</f>
      </c>
      <c r="Z50" s="9">
        <f>SUMIFS(Data!$AD$3:$AD$178,Data!$X$3:$X$178,Z$1,Data!$Y$3:$Y$178,"2022",Data!$K$3:$K$178,'Reporting 2022'!$B18)</f>
      </c>
      <c r="AA50" s="9">
        <f>SUMIFS(Data!$AD$3:$AD$178,Data!$X$3:$X$178,AA$1,Data!$Y$3:$Y$178,"2022",Data!$K$3:$K$178,'Reporting 2022'!$B18)</f>
      </c>
      <c r="AB50" s="9">
        <f>SUMIFS(Data!$AD$3:$AD$178,Data!$X$3:$X$178,AB$1,Data!$Y$3:$Y$178,"2022",Data!$K$3:$K$178,'Reporting 2022'!$B18)</f>
      </c>
      <c r="AC50" s="9">
        <f>SUMIFS(Data!$AD$3:$AD$178,Data!$X$3:$X$178,AC$1,Data!$Y$3:$Y$178,"2022",Data!$K$3:$K$178,'Reporting 2022'!$B18)</f>
      </c>
      <c r="AD50" s="9">
        <f>SUMIFS(Data!$AD$3:$AD$178,Data!$X$3:$X$178,AD$1,Data!$Y$3:$Y$178,"2022",Data!$K$3:$K$178,'Reporting 2022'!$B18)</f>
      </c>
      <c r="AE50" s="9">
        <f>SUMIFS(Data!$AD$3:$AD$178,Data!$X$3:$X$178,AE$1,Data!$Y$3:$Y$178,"2022",Data!$K$3:$K$178,'Reporting 2022'!$B18)</f>
      </c>
      <c r="AF50" s="9">
        <f>SUMIFS(Data!$AD$3:$AD$178,Data!$X$3:$X$178,AF$1,Data!$Y$3:$Y$178,"2022",Data!$K$3:$K$178,'Reporting 2022'!$B18)</f>
      </c>
      <c r="AG50" s="9">
        <f>SUMIFS(Data!$AD$3:$AD$178,Data!$X$3:$X$178,AG$1,Data!$Y$3:$Y$178,"2022",Data!$K$3:$K$178,'Reporting 2022'!$B18)</f>
      </c>
      <c r="AH50" s="9">
        <f>SUMIFS(Data!$AD$3:$AD$178,Data!$X$3:$X$178,AH$1,Data!$Y$3:$Y$178,"2022",Data!$K$3:$K$178,'Reporting 2022'!$B18)</f>
      </c>
      <c r="AI50" s="9">
        <f>SUMIFS(Data!$AD$3:$AD$178,Data!$X$3:$X$178,AI$1,Data!$Y$3:$Y$178,"2022",Data!$K$3:$K$178,'Reporting 2022'!$B18)</f>
      </c>
      <c r="AJ50" s="9">
        <f>SUMIFS(Data!$AD$3:$AD$178,Data!$X$3:$X$178,AJ$1,Data!$Y$3:$Y$178,"2022",Data!$K$3:$K$178,'Reporting 2022'!$B18)</f>
      </c>
      <c r="AK50" s="9">
        <f>SUMIFS(Data!$AD$3:$AD$178,Data!$X$3:$X$178,AK$1,Data!$Y$3:$Y$178,"2022",Data!$K$3:$K$178,'Reporting 2022'!$B18)</f>
      </c>
      <c r="AL50" s="9">
        <f>SUMIFS(Data!$AD$3:$AD$178,Data!$X$3:$X$178,AL$1,Data!$Y$3:$Y$178,"2022",Data!$K$3:$K$178,'Reporting 2022'!$B18)</f>
      </c>
      <c r="AM50" s="9">
        <f>SUMIFS(Data!$AD$3:$AD$178,Data!$X$3:$X$178,AM$1,Data!$Y$3:$Y$178,"2022",Data!$K$3:$K$178,'Reporting 2022'!$B18)</f>
      </c>
      <c r="AN50" s="9">
        <f>SUMIFS(Data!$AD$3:$AD$178,Data!$X$3:$X$178,AN$1,Data!$Y$3:$Y$178,"2022",Data!$K$3:$K$178,'Reporting 2022'!$B18)</f>
      </c>
      <c r="AO50" s="9">
        <f>SUMIFS(Data!$AD$3:$AD$178,Data!$X$3:$X$178,AO$1,Data!$Y$3:$Y$178,"2022",Data!$K$3:$K$178,'Reporting 2022'!$B18)</f>
      </c>
      <c r="AP50" s="9">
        <f>SUMIFS(Data!$AD$3:$AD$178,Data!$X$3:$X$178,AP$1,Data!$Y$3:$Y$178,"2022",Data!$K$3:$K$178,'Reporting 2022'!$B18)</f>
      </c>
      <c r="AQ50" s="9">
        <f>SUMIFS(Data!$AD$3:$AD$178,Data!$X$3:$X$178,AQ$1,Data!$Y$3:$Y$178,"2022",Data!$K$3:$K$178,'Reporting 2022'!$B18)</f>
      </c>
      <c r="AR50" s="9">
        <f>SUMIFS(Data!$AD$3:$AD$178,Data!$X$3:$X$178,AR$1,Data!$Y$3:$Y$178,"2022",Data!$K$3:$K$178,'Reporting 2022'!$B18)</f>
      </c>
      <c r="AS50" s="9">
        <f>SUMIFS(Data!$AD$3:$AD$178,Data!$X$3:$X$178,AS$1,Data!$Y$3:$Y$178,"2022",Data!$K$3:$K$178,'Reporting 2022'!$B18)</f>
      </c>
      <c r="AT50" s="9">
        <f>SUMIFS(Data!$AD$3:$AD$178,Data!$X$3:$X$178,AT$1,Data!$Y$3:$Y$178,"2022",Data!$K$3:$K$178,'Reporting 2022'!$B18)</f>
      </c>
      <c r="AU50" s="9">
        <f>SUMIFS(Data!$AD$3:$AD$178,Data!$X$3:$X$178,AU$1,Data!$Y$3:$Y$178,"2022",Data!$K$3:$K$178,'Reporting 2022'!$B18)</f>
      </c>
      <c r="AV50" s="9">
        <f>SUMIFS(Data!$AD$3:$AD$178,Data!$X$3:$X$178,AV$1,Data!$Y$3:$Y$178,"2022",Data!$K$3:$K$178,'Reporting 2022'!$B18)</f>
      </c>
      <c r="AW50" s="9">
        <f>SUMIFS(Data!$AD$3:$AD$178,Data!$X$3:$X$178,AW$1,Data!$Y$3:$Y$178,"2022",Data!$K$3:$K$178,'Reporting 2022'!$B18)</f>
      </c>
      <c r="AX50" s="9">
        <f>SUMIFS(Data!$AD$3:$AD$178,Data!$X$3:$X$178,AX$1,Data!$Y$3:$Y$178,"2022",Data!$K$3:$K$178,'Reporting 2022'!$B18)</f>
      </c>
      <c r="AY50" s="9">
        <f>SUMIFS(Data!$AD$3:$AD$178,Data!$X$3:$X$178,AY$1,Data!$Y$3:$Y$178,"2022",Data!$K$3:$K$178,'Reporting 2022'!$B18)</f>
      </c>
      <c r="AZ50" s="9">
        <f>SUMIFS(Data!$AD$3:$AD$178,Data!$X$3:$X$178,AZ$1,Data!$Y$3:$Y$178,"2022",Data!$K$3:$K$178,'Reporting 2022'!$B18)</f>
      </c>
      <c r="BA50" s="9">
        <f>SUMIFS(Data!$AD$3:$AD$178,Data!$X$3:$X$178,BA$1,Data!$Y$3:$Y$178,"2022",Data!$K$3:$K$178,'Reporting 2022'!$B18)</f>
      </c>
      <c r="BB50" s="9">
        <f>SUMIFS(Data!$AD$3:$AD$178,Data!$X$3:$X$178,BB$1,Data!$Y$3:$Y$178,"2022",Data!$K$3:$K$178,'Reporting 2022'!$B18)</f>
      </c>
      <c r="BC50" s="3"/>
      <c r="BD50" s="3"/>
      <c r="BE50" s="3"/>
    </row>
    <row x14ac:dyDescent="0.25" r="51" customHeight="1" ht="19.5">
      <c r="A51" s="3"/>
      <c r="B51" s="195" t="s">
        <v>474</v>
      </c>
      <c r="C51" s="9">
        <f>SUMIFS(Data!$AD$3:$AD$178,Data!$X$3:$X$178,C$1,Data!$Y$3:$Y$178,"2022",Data!$K$3:$K$178,'Reporting 2022'!$B19)</f>
      </c>
      <c r="D51" s="9">
        <f>SUMIFS(Data!$AD$3:$AD$178,Data!$X$3:$X$178,D$1,Data!$Y$3:$Y$178,"2022",Data!$K$3:$K$178,'Reporting 2022'!$B19)</f>
      </c>
      <c r="E51" s="9">
        <f>SUMIFS(Data!$AD$3:$AD$178,Data!$X$3:$X$178,E$1,Data!$Y$3:$Y$178,"2022",Data!$K$3:$K$178,'Reporting 2022'!$B19)</f>
      </c>
      <c r="F51" s="9">
        <f>SUMIFS(Data!$AD$3:$AD$178,Data!$X$3:$X$178,F$1,Data!$Y$3:$Y$178,"2022",Data!$K$3:$K$178,'Reporting 2022'!$B19)</f>
      </c>
      <c r="G51" s="9">
        <f>SUMIFS(Data!$AD$3:$AD$178,Data!$X$3:$X$178,G$1,Data!$Y$3:$Y$178,"2022",Data!$K$3:$K$178,'Reporting 2022'!$B19)</f>
      </c>
      <c r="H51" s="9">
        <f>SUMIFS(Data!$AD$3:$AD$178,Data!$X$3:$X$178,H$1,Data!$Y$3:$Y$178,"2022",Data!$K$3:$K$178,'Reporting 2022'!$B19)</f>
      </c>
      <c r="I51" s="9">
        <f>SUMIFS(Data!$AD$3:$AD$178,Data!$X$3:$X$178,I$1,Data!$Y$3:$Y$178,"2022",Data!$K$3:$K$178,'Reporting 2022'!$B19)</f>
      </c>
      <c r="J51" s="9">
        <f>SUMIFS(Data!$AD$3:$AD$178,Data!$X$3:$X$178,J$1,Data!$Y$3:$Y$178,"2022",Data!$K$3:$K$178,'Reporting 2022'!$B19)</f>
      </c>
      <c r="K51" s="9">
        <f>SUMIFS(Data!$AD$3:$AD$178,Data!$X$3:$X$178,K$1,Data!$Y$3:$Y$178,"2022",Data!$K$3:$K$178,'Reporting 2022'!$B19)</f>
      </c>
      <c r="L51" s="9">
        <f>SUMIFS(Data!$AD$3:$AD$178,Data!$X$3:$X$178,L$1,Data!$Y$3:$Y$178,"2022",Data!$K$3:$K$178,'Reporting 2022'!$B19)</f>
      </c>
      <c r="M51" s="9">
        <f>SUMIFS(Data!$AD$3:$AD$178,Data!$X$3:$X$178,M$1,Data!$Y$3:$Y$178,"2022",Data!$K$3:$K$178,'Reporting 2022'!$B19)</f>
      </c>
      <c r="N51" s="9">
        <f>SUMIFS(Data!$AD$3:$AD$178,Data!$X$3:$X$178,N$1,Data!$Y$3:$Y$178,"2022",Data!$K$3:$K$178,'Reporting 2022'!$B19)</f>
      </c>
      <c r="O51" s="9">
        <f>SUMIFS(Data!$AD$3:$AD$178,Data!$X$3:$X$178,O$1,Data!$Y$3:$Y$178,"2022",Data!$K$3:$K$178,'Reporting 2022'!$B19)</f>
      </c>
      <c r="P51" s="9">
        <f>SUMIFS(Data!$AD$3:$AD$178,Data!$X$3:$X$178,P$1,Data!$Y$3:$Y$178,"2022",Data!$K$3:$K$178,'Reporting 2022'!$B19)</f>
      </c>
      <c r="Q51" s="9">
        <f>SUMIFS(Data!$AD$3:$AD$178,Data!$X$3:$X$178,Q$1,Data!$Y$3:$Y$178,"2022",Data!$K$3:$K$178,'Reporting 2022'!$B19)</f>
      </c>
      <c r="R51" s="9">
        <f>SUMIFS(Data!$AD$3:$AD$178,Data!$X$3:$X$178,R$1,Data!$Y$3:$Y$178,"2022",Data!$K$3:$K$178,'Reporting 2022'!$B19)</f>
      </c>
      <c r="S51" s="9">
        <f>SUMIFS(Data!$AD$3:$AD$178,Data!$X$3:$X$178,S$1,Data!$Y$3:$Y$178,"2022",Data!$K$3:$K$178,'Reporting 2022'!$B19)</f>
      </c>
      <c r="T51" s="9">
        <f>SUMIFS(Data!$AD$3:$AD$178,Data!$X$3:$X$178,T$1,Data!$Y$3:$Y$178,"2022",Data!$K$3:$K$178,'Reporting 2022'!$B19)</f>
      </c>
      <c r="U51" s="9">
        <f>SUMIFS(Data!$AD$3:$AD$178,Data!$X$3:$X$178,U$1,Data!$Y$3:$Y$178,"2022",Data!$K$3:$K$178,'Reporting 2022'!$B19)</f>
      </c>
      <c r="V51" s="9">
        <f>SUMIFS(Data!$AD$3:$AD$178,Data!$X$3:$X$178,V$1,Data!$Y$3:$Y$178,"2022",Data!$K$3:$K$178,'Reporting 2022'!$B19)</f>
      </c>
      <c r="W51" s="9">
        <f>SUMIFS(Data!$AD$3:$AD$178,Data!$X$3:$X$178,W$1,Data!$Y$3:$Y$178,"2022",Data!$K$3:$K$178,'Reporting 2022'!$B19)</f>
      </c>
      <c r="X51" s="9">
        <f>SUMIFS(Data!$AD$3:$AD$178,Data!$X$3:$X$178,X$1,Data!$Y$3:$Y$178,"2022",Data!$K$3:$K$178,'Reporting 2022'!$B19)</f>
      </c>
      <c r="Y51" s="9">
        <f>SUMIFS(Data!$AD$3:$AD$178,Data!$X$3:$X$178,Y$1,Data!$Y$3:$Y$178,"2022",Data!$K$3:$K$178,'Reporting 2022'!$B19)</f>
      </c>
      <c r="Z51" s="9">
        <f>SUMIFS(Data!$AD$3:$AD$178,Data!$X$3:$X$178,Z$1,Data!$Y$3:$Y$178,"2022",Data!$K$3:$K$178,'Reporting 2022'!$B19)</f>
      </c>
      <c r="AA51" s="9">
        <f>SUMIFS(Data!$AD$3:$AD$178,Data!$X$3:$X$178,AA$1,Data!$Y$3:$Y$178,"2022",Data!$K$3:$K$178,'Reporting 2022'!$B19)</f>
      </c>
      <c r="AB51" s="9">
        <f>SUMIFS(Data!$AD$3:$AD$178,Data!$X$3:$X$178,AB$1,Data!$Y$3:$Y$178,"2022",Data!$K$3:$K$178,'Reporting 2022'!$B19)</f>
      </c>
      <c r="AC51" s="9">
        <f>SUMIFS(Data!$AD$3:$AD$178,Data!$X$3:$X$178,AC$1,Data!$Y$3:$Y$178,"2022",Data!$K$3:$K$178,'Reporting 2022'!$B19)</f>
      </c>
      <c r="AD51" s="9">
        <f>SUMIFS(Data!$AD$3:$AD$178,Data!$X$3:$X$178,AD$1,Data!$Y$3:$Y$178,"2022",Data!$K$3:$K$178,'Reporting 2022'!$B19)</f>
      </c>
      <c r="AE51" s="9">
        <f>SUMIFS(Data!$AD$3:$AD$178,Data!$X$3:$X$178,AE$1,Data!$Y$3:$Y$178,"2022",Data!$K$3:$K$178,'Reporting 2022'!$B19)</f>
      </c>
      <c r="AF51" s="9">
        <f>SUMIFS(Data!$AD$3:$AD$178,Data!$X$3:$X$178,AF$1,Data!$Y$3:$Y$178,"2022",Data!$K$3:$K$178,'Reporting 2022'!$B19)</f>
      </c>
      <c r="AG51" s="9">
        <f>SUMIFS(Data!$AD$3:$AD$178,Data!$X$3:$X$178,AG$1,Data!$Y$3:$Y$178,"2022",Data!$K$3:$K$178,'Reporting 2022'!$B19)</f>
      </c>
      <c r="AH51" s="9">
        <f>SUMIFS(Data!$AD$3:$AD$178,Data!$X$3:$X$178,AH$1,Data!$Y$3:$Y$178,"2022",Data!$K$3:$K$178,'Reporting 2022'!$B19)</f>
      </c>
      <c r="AI51" s="9">
        <f>SUMIFS(Data!$AD$3:$AD$178,Data!$X$3:$X$178,AI$1,Data!$Y$3:$Y$178,"2022",Data!$K$3:$K$178,'Reporting 2022'!$B19)</f>
      </c>
      <c r="AJ51" s="9">
        <f>SUMIFS(Data!$AD$3:$AD$178,Data!$X$3:$X$178,AJ$1,Data!$Y$3:$Y$178,"2022",Data!$K$3:$K$178,'Reporting 2022'!$B19)</f>
      </c>
      <c r="AK51" s="9">
        <f>SUMIFS(Data!$AD$3:$AD$178,Data!$X$3:$X$178,AK$1,Data!$Y$3:$Y$178,"2022",Data!$K$3:$K$178,'Reporting 2022'!$B19)</f>
      </c>
      <c r="AL51" s="9">
        <f>SUMIFS(Data!$AD$3:$AD$178,Data!$X$3:$X$178,AL$1,Data!$Y$3:$Y$178,"2022",Data!$K$3:$K$178,'Reporting 2022'!$B19)</f>
      </c>
      <c r="AM51" s="9">
        <f>SUMIFS(Data!$AD$3:$AD$178,Data!$X$3:$X$178,AM$1,Data!$Y$3:$Y$178,"2022",Data!$K$3:$K$178,'Reporting 2022'!$B19)</f>
      </c>
      <c r="AN51" s="9">
        <f>SUMIFS(Data!$AD$3:$AD$178,Data!$X$3:$X$178,AN$1,Data!$Y$3:$Y$178,"2022",Data!$K$3:$K$178,'Reporting 2022'!$B19)</f>
      </c>
      <c r="AO51" s="9">
        <f>SUMIFS(Data!$AD$3:$AD$178,Data!$X$3:$X$178,AO$1,Data!$Y$3:$Y$178,"2022",Data!$K$3:$K$178,'Reporting 2022'!$B19)</f>
      </c>
      <c r="AP51" s="9">
        <f>SUMIFS(Data!$AD$3:$AD$178,Data!$X$3:$X$178,AP$1,Data!$Y$3:$Y$178,"2022",Data!$K$3:$K$178,'Reporting 2022'!$B19)</f>
      </c>
      <c r="AQ51" s="9">
        <f>SUMIFS(Data!$AD$3:$AD$178,Data!$X$3:$X$178,AQ$1,Data!$Y$3:$Y$178,"2022",Data!$K$3:$K$178,'Reporting 2022'!$B19)</f>
      </c>
      <c r="AR51" s="9">
        <f>SUMIFS(Data!$AD$3:$AD$178,Data!$X$3:$X$178,AR$1,Data!$Y$3:$Y$178,"2022",Data!$K$3:$K$178,'Reporting 2022'!$B19)</f>
      </c>
      <c r="AS51" s="9">
        <f>SUMIFS(Data!$AD$3:$AD$178,Data!$X$3:$X$178,AS$1,Data!$Y$3:$Y$178,"2022",Data!$K$3:$K$178,'Reporting 2022'!$B19)</f>
      </c>
      <c r="AT51" s="9">
        <f>SUMIFS(Data!$AD$3:$AD$178,Data!$X$3:$X$178,AT$1,Data!$Y$3:$Y$178,"2022",Data!$K$3:$K$178,'Reporting 2022'!$B19)</f>
      </c>
      <c r="AU51" s="9">
        <f>SUMIFS(Data!$AD$3:$AD$178,Data!$X$3:$X$178,AU$1,Data!$Y$3:$Y$178,"2022",Data!$K$3:$K$178,'Reporting 2022'!$B19)</f>
      </c>
      <c r="AV51" s="9">
        <f>SUMIFS(Data!$AD$3:$AD$178,Data!$X$3:$X$178,AV$1,Data!$Y$3:$Y$178,"2022",Data!$K$3:$K$178,'Reporting 2022'!$B19)</f>
      </c>
      <c r="AW51" s="9">
        <f>SUMIFS(Data!$AD$3:$AD$178,Data!$X$3:$X$178,AW$1,Data!$Y$3:$Y$178,"2022",Data!$K$3:$K$178,'Reporting 2022'!$B19)</f>
      </c>
      <c r="AX51" s="9">
        <f>SUMIFS(Data!$AD$3:$AD$178,Data!$X$3:$X$178,AX$1,Data!$Y$3:$Y$178,"2022",Data!$K$3:$K$178,'Reporting 2022'!$B19)</f>
      </c>
      <c r="AY51" s="9">
        <f>SUMIFS(Data!$AD$3:$AD$178,Data!$X$3:$X$178,AY$1,Data!$Y$3:$Y$178,"2022",Data!$K$3:$K$178,'Reporting 2022'!$B19)</f>
      </c>
      <c r="AZ51" s="9">
        <f>SUMIFS(Data!$AD$3:$AD$178,Data!$X$3:$X$178,AZ$1,Data!$Y$3:$Y$178,"2022",Data!$K$3:$K$178,'Reporting 2022'!$B19)</f>
      </c>
      <c r="BA51" s="9">
        <f>SUMIFS(Data!$AD$3:$AD$178,Data!$X$3:$X$178,BA$1,Data!$Y$3:$Y$178,"2022",Data!$K$3:$K$178,'Reporting 2022'!$B19)</f>
      </c>
      <c r="BB51" s="9">
        <f>SUMIFS(Data!$AD$3:$AD$178,Data!$X$3:$X$178,BB$1,Data!$Y$3:$Y$178,"2022",Data!$K$3:$K$178,'Reporting 2022'!$B19)</f>
      </c>
      <c r="BC51" s="3"/>
      <c r="BD51" s="3"/>
      <c r="BE51" s="3"/>
    </row>
    <row x14ac:dyDescent="0.25" r="52" customHeight="1" ht="19.5">
      <c r="A52" s="3"/>
      <c r="B52" s="195" t="s">
        <v>475</v>
      </c>
      <c r="C52" s="9">
        <f>SUMIFS(Data!$AD$3:$AD$178,Data!$X$3:$X$178,C$1,Data!$Y$3:$Y$178,"2022",Data!$K$3:$K$178,'Reporting 2022'!$B20)</f>
      </c>
      <c r="D52" s="9">
        <f>SUMIFS(Data!$AD$3:$AD$178,Data!$X$3:$X$178,D$1,Data!$Y$3:$Y$178,"2022",Data!$K$3:$K$178,'Reporting 2022'!$B20)</f>
      </c>
      <c r="E52" s="9">
        <f>SUMIFS(Data!$AD$3:$AD$178,Data!$X$3:$X$178,E$1,Data!$Y$3:$Y$178,"2022",Data!$K$3:$K$178,'Reporting 2022'!$B20)</f>
      </c>
      <c r="F52" s="9">
        <f>SUMIFS(Data!$AD$3:$AD$178,Data!$X$3:$X$178,F$1,Data!$Y$3:$Y$178,"2022",Data!$K$3:$K$178,'Reporting 2022'!$B20)</f>
      </c>
      <c r="G52" s="9">
        <f>SUMIFS(Data!$AD$3:$AD$178,Data!$X$3:$X$178,G$1,Data!$Y$3:$Y$178,"2022",Data!$K$3:$K$178,'Reporting 2022'!$B20)</f>
      </c>
      <c r="H52" s="9">
        <f>SUMIFS(Data!$AD$3:$AD$178,Data!$X$3:$X$178,H$1,Data!$Y$3:$Y$178,"2022",Data!$K$3:$K$178,'Reporting 2022'!$B20)</f>
      </c>
      <c r="I52" s="9">
        <f>SUMIFS(Data!$AD$3:$AD$178,Data!$X$3:$X$178,I$1,Data!$Y$3:$Y$178,"2022",Data!$K$3:$K$178,'Reporting 2022'!$B20)</f>
      </c>
      <c r="J52" s="9">
        <f>SUMIFS(Data!$AD$3:$AD$178,Data!$X$3:$X$178,J$1,Data!$Y$3:$Y$178,"2022",Data!$K$3:$K$178,'Reporting 2022'!$B20)</f>
      </c>
      <c r="K52" s="9">
        <f>SUMIFS(Data!$AD$3:$AD$178,Data!$X$3:$X$178,K$1,Data!$Y$3:$Y$178,"2022",Data!$K$3:$K$178,'Reporting 2022'!$B20)</f>
      </c>
      <c r="L52" s="9">
        <f>SUMIFS(Data!$AD$3:$AD$178,Data!$X$3:$X$178,L$1,Data!$Y$3:$Y$178,"2022",Data!$K$3:$K$178,'Reporting 2022'!$B20)</f>
      </c>
      <c r="M52" s="9">
        <f>SUMIFS(Data!$AD$3:$AD$178,Data!$X$3:$X$178,M$1,Data!$Y$3:$Y$178,"2022",Data!$K$3:$K$178,'Reporting 2022'!$B20)</f>
      </c>
      <c r="N52" s="9">
        <f>SUMIFS(Data!$AD$3:$AD$178,Data!$X$3:$X$178,N$1,Data!$Y$3:$Y$178,"2022",Data!$K$3:$K$178,'Reporting 2022'!$B20)</f>
      </c>
      <c r="O52" s="9">
        <f>SUMIFS(Data!$AD$3:$AD$178,Data!$X$3:$X$178,O$1,Data!$Y$3:$Y$178,"2022",Data!$K$3:$K$178,'Reporting 2022'!$B20)</f>
      </c>
      <c r="P52" s="9">
        <f>SUMIFS(Data!$AD$3:$AD$178,Data!$X$3:$X$178,P$1,Data!$Y$3:$Y$178,"2022",Data!$K$3:$K$178,'Reporting 2022'!$B20)</f>
      </c>
      <c r="Q52" s="9">
        <f>SUMIFS(Data!$AD$3:$AD$178,Data!$X$3:$X$178,Q$1,Data!$Y$3:$Y$178,"2022",Data!$K$3:$K$178,'Reporting 2022'!$B20)</f>
      </c>
      <c r="R52" s="9">
        <f>SUMIFS(Data!$AD$3:$AD$178,Data!$X$3:$X$178,R$1,Data!$Y$3:$Y$178,"2022",Data!$K$3:$K$178,'Reporting 2022'!$B20)</f>
      </c>
      <c r="S52" s="9">
        <f>SUMIFS(Data!$AD$3:$AD$178,Data!$X$3:$X$178,S$1,Data!$Y$3:$Y$178,"2022",Data!$K$3:$K$178,'Reporting 2022'!$B20)</f>
      </c>
      <c r="T52" s="9">
        <f>SUMIFS(Data!$AD$3:$AD$178,Data!$X$3:$X$178,T$1,Data!$Y$3:$Y$178,"2022",Data!$K$3:$K$178,'Reporting 2022'!$B20)</f>
      </c>
      <c r="U52" s="9">
        <f>SUMIFS(Data!$AD$3:$AD$178,Data!$X$3:$X$178,U$1,Data!$Y$3:$Y$178,"2022",Data!$K$3:$K$178,'Reporting 2022'!$B20)</f>
      </c>
      <c r="V52" s="9">
        <f>SUMIFS(Data!$AD$3:$AD$178,Data!$X$3:$X$178,V$1,Data!$Y$3:$Y$178,"2022",Data!$K$3:$K$178,'Reporting 2022'!$B20)</f>
      </c>
      <c r="W52" s="9">
        <f>SUMIFS(Data!$AD$3:$AD$178,Data!$X$3:$X$178,W$1,Data!$Y$3:$Y$178,"2022",Data!$K$3:$K$178,'Reporting 2022'!$B20)</f>
      </c>
      <c r="X52" s="9">
        <f>SUMIFS(Data!$AD$3:$AD$178,Data!$X$3:$X$178,X$1,Data!$Y$3:$Y$178,"2022",Data!$K$3:$K$178,'Reporting 2022'!$B20)</f>
      </c>
      <c r="Y52" s="9">
        <f>SUMIFS(Data!$AD$3:$AD$178,Data!$X$3:$X$178,Y$1,Data!$Y$3:$Y$178,"2022",Data!$K$3:$K$178,'Reporting 2022'!$B20)</f>
      </c>
      <c r="Z52" s="9">
        <f>SUMIFS(Data!$AD$3:$AD$178,Data!$X$3:$X$178,Z$1,Data!$Y$3:$Y$178,"2022",Data!$K$3:$K$178,'Reporting 2022'!$B20)</f>
      </c>
      <c r="AA52" s="9">
        <f>SUMIFS(Data!$AD$3:$AD$178,Data!$X$3:$X$178,AA$1,Data!$Y$3:$Y$178,"2022",Data!$K$3:$K$178,'Reporting 2022'!$B20)</f>
      </c>
      <c r="AB52" s="9">
        <f>SUMIFS(Data!$AD$3:$AD$178,Data!$X$3:$X$178,AB$1,Data!$Y$3:$Y$178,"2022",Data!$K$3:$K$178,'Reporting 2022'!$B20)</f>
      </c>
      <c r="AC52" s="9">
        <f>SUMIFS(Data!$AD$3:$AD$178,Data!$X$3:$X$178,AC$1,Data!$Y$3:$Y$178,"2022",Data!$K$3:$K$178,'Reporting 2022'!$B20)</f>
      </c>
      <c r="AD52" s="9">
        <f>SUMIFS(Data!$AD$3:$AD$178,Data!$X$3:$X$178,AD$1,Data!$Y$3:$Y$178,"2022",Data!$K$3:$K$178,'Reporting 2022'!$B20)</f>
      </c>
      <c r="AE52" s="9">
        <f>SUMIFS(Data!$AD$3:$AD$178,Data!$X$3:$X$178,AE$1,Data!$Y$3:$Y$178,"2022",Data!$K$3:$K$178,'Reporting 2022'!$B20)</f>
      </c>
      <c r="AF52" s="9">
        <f>SUMIFS(Data!$AD$3:$AD$178,Data!$X$3:$X$178,AF$1,Data!$Y$3:$Y$178,"2022",Data!$K$3:$K$178,'Reporting 2022'!$B20)</f>
      </c>
      <c r="AG52" s="9">
        <f>SUMIFS(Data!$AD$3:$AD$178,Data!$X$3:$X$178,AG$1,Data!$Y$3:$Y$178,"2022",Data!$K$3:$K$178,'Reporting 2022'!$B20)</f>
      </c>
      <c r="AH52" s="9">
        <f>SUMIFS(Data!$AD$3:$AD$178,Data!$X$3:$X$178,AH$1,Data!$Y$3:$Y$178,"2022",Data!$K$3:$K$178,'Reporting 2022'!$B20)</f>
      </c>
      <c r="AI52" s="9">
        <f>SUMIFS(Data!$AD$3:$AD$178,Data!$X$3:$X$178,AI$1,Data!$Y$3:$Y$178,"2022",Data!$K$3:$K$178,'Reporting 2022'!$B20)</f>
      </c>
      <c r="AJ52" s="9">
        <f>SUMIFS(Data!$AD$3:$AD$178,Data!$X$3:$X$178,AJ$1,Data!$Y$3:$Y$178,"2022",Data!$K$3:$K$178,'Reporting 2022'!$B20)</f>
      </c>
      <c r="AK52" s="9">
        <f>SUMIFS(Data!$AD$3:$AD$178,Data!$X$3:$X$178,AK$1,Data!$Y$3:$Y$178,"2022",Data!$K$3:$K$178,'Reporting 2022'!$B20)</f>
      </c>
      <c r="AL52" s="9">
        <f>SUMIFS(Data!$AD$3:$AD$178,Data!$X$3:$X$178,AL$1,Data!$Y$3:$Y$178,"2022",Data!$K$3:$K$178,'Reporting 2022'!$B20)</f>
      </c>
      <c r="AM52" s="9">
        <f>SUMIFS(Data!$AD$3:$AD$178,Data!$X$3:$X$178,AM$1,Data!$Y$3:$Y$178,"2022",Data!$K$3:$K$178,'Reporting 2022'!$B20)</f>
      </c>
      <c r="AN52" s="9">
        <f>SUMIFS(Data!$AD$3:$AD$178,Data!$X$3:$X$178,AN$1,Data!$Y$3:$Y$178,"2022",Data!$K$3:$K$178,'Reporting 2022'!$B20)</f>
      </c>
      <c r="AO52" s="9">
        <f>SUMIFS(Data!$AD$3:$AD$178,Data!$X$3:$X$178,AO$1,Data!$Y$3:$Y$178,"2022",Data!$K$3:$K$178,'Reporting 2022'!$B20)</f>
      </c>
      <c r="AP52" s="9">
        <f>SUMIFS(Data!$AD$3:$AD$178,Data!$X$3:$X$178,AP$1,Data!$Y$3:$Y$178,"2022",Data!$K$3:$K$178,'Reporting 2022'!$B20)</f>
      </c>
      <c r="AQ52" s="9">
        <f>SUMIFS(Data!$AD$3:$AD$178,Data!$X$3:$X$178,AQ$1,Data!$Y$3:$Y$178,"2022",Data!$K$3:$K$178,'Reporting 2022'!$B20)</f>
      </c>
      <c r="AR52" s="9">
        <f>SUMIFS(Data!$AD$3:$AD$178,Data!$X$3:$X$178,AR$1,Data!$Y$3:$Y$178,"2022",Data!$K$3:$K$178,'Reporting 2022'!$B20)</f>
      </c>
      <c r="AS52" s="9">
        <f>SUMIFS(Data!$AD$3:$AD$178,Data!$X$3:$X$178,AS$1,Data!$Y$3:$Y$178,"2022",Data!$K$3:$K$178,'Reporting 2022'!$B20)</f>
      </c>
      <c r="AT52" s="9">
        <f>SUMIFS(Data!$AD$3:$AD$178,Data!$X$3:$X$178,AT$1,Data!$Y$3:$Y$178,"2022",Data!$K$3:$K$178,'Reporting 2022'!$B20)</f>
      </c>
      <c r="AU52" s="9">
        <f>SUMIFS(Data!$AD$3:$AD$178,Data!$X$3:$X$178,AU$1,Data!$Y$3:$Y$178,"2022",Data!$K$3:$K$178,'Reporting 2022'!$B20)</f>
      </c>
      <c r="AV52" s="9">
        <f>SUMIFS(Data!$AD$3:$AD$178,Data!$X$3:$X$178,AV$1,Data!$Y$3:$Y$178,"2022",Data!$K$3:$K$178,'Reporting 2022'!$B20)</f>
      </c>
      <c r="AW52" s="9">
        <f>SUMIFS(Data!$AD$3:$AD$178,Data!$X$3:$X$178,AW$1,Data!$Y$3:$Y$178,"2022",Data!$K$3:$K$178,'Reporting 2022'!$B20)</f>
      </c>
      <c r="AX52" s="9">
        <f>SUMIFS(Data!$AD$3:$AD$178,Data!$X$3:$X$178,AX$1,Data!$Y$3:$Y$178,"2022",Data!$K$3:$K$178,'Reporting 2022'!$B20)</f>
      </c>
      <c r="AY52" s="9">
        <f>SUMIFS(Data!$AD$3:$AD$178,Data!$X$3:$X$178,AY$1,Data!$Y$3:$Y$178,"2022",Data!$K$3:$K$178,'Reporting 2022'!$B20)</f>
      </c>
      <c r="AZ52" s="9">
        <f>SUMIFS(Data!$AD$3:$AD$178,Data!$X$3:$X$178,AZ$1,Data!$Y$3:$Y$178,"2022",Data!$K$3:$K$178,'Reporting 2022'!$B20)</f>
      </c>
      <c r="BA52" s="9">
        <f>SUMIFS(Data!$AD$3:$AD$178,Data!$X$3:$X$178,BA$1,Data!$Y$3:$Y$178,"2022",Data!$K$3:$K$178,'Reporting 2022'!$B20)</f>
      </c>
      <c r="BB52" s="9">
        <f>SUMIFS(Data!$AD$3:$AD$178,Data!$X$3:$X$178,BB$1,Data!$Y$3:$Y$178,"2022",Data!$K$3:$K$178,'Reporting 2022'!$B20)</f>
      </c>
      <c r="BC52" s="3"/>
      <c r="BD52" s="3"/>
      <c r="BE52" s="3"/>
    </row>
    <row x14ac:dyDescent="0.25" r="53" customHeight="1" ht="19.5">
      <c r="A53" s="3"/>
      <c r="B53" s="195" t="s">
        <v>476</v>
      </c>
      <c r="C53" s="9">
        <f>SUMIFS(Data!$AD$3:$AD$178,Data!$X$3:$X$178,C$1,Data!$Y$3:$Y$178,"2022",Data!$K$3:$K$178,'Reporting 2022'!$B21)</f>
      </c>
      <c r="D53" s="9">
        <f>SUMIFS(Data!$AD$3:$AD$178,Data!$X$3:$X$178,D$1,Data!$Y$3:$Y$178,"2022",Data!$K$3:$K$178,'Reporting 2022'!$B21)</f>
      </c>
      <c r="E53" s="9">
        <f>SUMIFS(Data!$AD$3:$AD$178,Data!$X$3:$X$178,E$1,Data!$Y$3:$Y$178,"2022",Data!$K$3:$K$178,'Reporting 2022'!$B21)</f>
      </c>
      <c r="F53" s="9">
        <f>SUMIFS(Data!$AD$3:$AD$178,Data!$X$3:$X$178,F$1,Data!$Y$3:$Y$178,"2022",Data!$K$3:$K$178,'Reporting 2022'!$B21)</f>
      </c>
      <c r="G53" s="9">
        <f>SUMIFS(Data!$AD$3:$AD$178,Data!$X$3:$X$178,G$1,Data!$Y$3:$Y$178,"2022",Data!$K$3:$K$178,'Reporting 2022'!$B21)</f>
      </c>
      <c r="H53" s="9">
        <f>SUMIFS(Data!$AD$3:$AD$178,Data!$X$3:$X$178,H$1,Data!$Y$3:$Y$178,"2022",Data!$K$3:$K$178,'Reporting 2022'!$B21)</f>
      </c>
      <c r="I53" s="9">
        <f>SUMIFS(Data!$AD$3:$AD$178,Data!$X$3:$X$178,I$1,Data!$Y$3:$Y$178,"2022",Data!$K$3:$K$178,'Reporting 2022'!$B21)</f>
      </c>
      <c r="J53" s="9">
        <f>SUMIFS(Data!$AD$3:$AD$178,Data!$X$3:$X$178,J$1,Data!$Y$3:$Y$178,"2022",Data!$K$3:$K$178,'Reporting 2022'!$B21)</f>
      </c>
      <c r="K53" s="9">
        <f>SUMIFS(Data!$AD$3:$AD$178,Data!$X$3:$X$178,K$1,Data!$Y$3:$Y$178,"2022",Data!$K$3:$K$178,'Reporting 2022'!$B21)</f>
      </c>
      <c r="L53" s="9">
        <f>SUMIFS(Data!$AD$3:$AD$178,Data!$X$3:$X$178,L$1,Data!$Y$3:$Y$178,"2022",Data!$K$3:$K$178,'Reporting 2022'!$B21)</f>
      </c>
      <c r="M53" s="9">
        <f>SUMIFS(Data!$AD$3:$AD$178,Data!$X$3:$X$178,M$1,Data!$Y$3:$Y$178,"2022",Data!$K$3:$K$178,'Reporting 2022'!$B21)</f>
      </c>
      <c r="N53" s="9">
        <f>SUMIFS(Data!$AD$3:$AD$178,Data!$X$3:$X$178,N$1,Data!$Y$3:$Y$178,"2022",Data!$K$3:$K$178,'Reporting 2022'!$B21)</f>
      </c>
      <c r="O53" s="9">
        <f>SUMIFS(Data!$AD$3:$AD$178,Data!$X$3:$X$178,O$1,Data!$Y$3:$Y$178,"2022",Data!$K$3:$K$178,'Reporting 2022'!$B21)</f>
      </c>
      <c r="P53" s="9">
        <f>SUMIFS(Data!$AD$3:$AD$178,Data!$X$3:$X$178,P$1,Data!$Y$3:$Y$178,"2022",Data!$K$3:$K$178,'Reporting 2022'!$B21)</f>
      </c>
      <c r="Q53" s="9">
        <f>SUMIFS(Data!$AD$3:$AD$178,Data!$X$3:$X$178,Q$1,Data!$Y$3:$Y$178,"2022",Data!$K$3:$K$178,'Reporting 2022'!$B21)</f>
      </c>
      <c r="R53" s="9">
        <f>SUMIFS(Data!$AD$3:$AD$178,Data!$X$3:$X$178,R$1,Data!$Y$3:$Y$178,"2022",Data!$K$3:$K$178,'Reporting 2022'!$B21)</f>
      </c>
      <c r="S53" s="9">
        <f>SUMIFS(Data!$AD$3:$AD$178,Data!$X$3:$X$178,S$1,Data!$Y$3:$Y$178,"2022",Data!$K$3:$K$178,'Reporting 2022'!$B21)</f>
      </c>
      <c r="T53" s="9">
        <f>SUMIFS(Data!$AD$3:$AD$178,Data!$X$3:$X$178,T$1,Data!$Y$3:$Y$178,"2022",Data!$K$3:$K$178,'Reporting 2022'!$B21)</f>
      </c>
      <c r="U53" s="9">
        <f>SUMIFS(Data!$AD$3:$AD$178,Data!$X$3:$X$178,U$1,Data!$Y$3:$Y$178,"2022",Data!$K$3:$K$178,'Reporting 2022'!$B21)</f>
      </c>
      <c r="V53" s="9">
        <f>SUMIFS(Data!$AD$3:$AD$178,Data!$X$3:$X$178,V$1,Data!$Y$3:$Y$178,"2022",Data!$K$3:$K$178,'Reporting 2022'!$B21)</f>
      </c>
      <c r="W53" s="9">
        <f>SUMIFS(Data!$AD$3:$AD$178,Data!$X$3:$X$178,W$1,Data!$Y$3:$Y$178,"2022",Data!$K$3:$K$178,'Reporting 2022'!$B21)</f>
      </c>
      <c r="X53" s="9">
        <f>SUMIFS(Data!$AD$3:$AD$178,Data!$X$3:$X$178,X$1,Data!$Y$3:$Y$178,"2022",Data!$K$3:$K$178,'Reporting 2022'!$B21)</f>
      </c>
      <c r="Y53" s="9">
        <f>SUMIFS(Data!$AD$3:$AD$178,Data!$X$3:$X$178,Y$1,Data!$Y$3:$Y$178,"2022",Data!$K$3:$K$178,'Reporting 2022'!$B21)</f>
      </c>
      <c r="Z53" s="9">
        <f>SUMIFS(Data!$AD$3:$AD$178,Data!$X$3:$X$178,Z$1,Data!$Y$3:$Y$178,"2022",Data!$K$3:$K$178,'Reporting 2022'!$B21)</f>
      </c>
      <c r="AA53" s="9">
        <f>SUMIFS(Data!$AD$3:$AD$178,Data!$X$3:$X$178,AA$1,Data!$Y$3:$Y$178,"2022",Data!$K$3:$K$178,'Reporting 2022'!$B21)</f>
      </c>
      <c r="AB53" s="9">
        <f>SUMIFS(Data!$AD$3:$AD$178,Data!$X$3:$X$178,AB$1,Data!$Y$3:$Y$178,"2022",Data!$K$3:$K$178,'Reporting 2022'!$B21)</f>
      </c>
      <c r="AC53" s="9">
        <f>SUMIFS(Data!$AD$3:$AD$178,Data!$X$3:$X$178,AC$1,Data!$Y$3:$Y$178,"2022",Data!$K$3:$K$178,'Reporting 2022'!$B21)</f>
      </c>
      <c r="AD53" s="9">
        <f>SUMIFS(Data!$AD$3:$AD$178,Data!$X$3:$X$178,AD$1,Data!$Y$3:$Y$178,"2022",Data!$K$3:$K$178,'Reporting 2022'!$B21)</f>
      </c>
      <c r="AE53" s="9">
        <f>SUMIFS(Data!$AD$3:$AD$178,Data!$X$3:$X$178,AE$1,Data!$Y$3:$Y$178,"2022",Data!$K$3:$K$178,'Reporting 2022'!$B21)</f>
      </c>
      <c r="AF53" s="9">
        <f>SUMIFS(Data!$AD$3:$AD$178,Data!$X$3:$X$178,AF$1,Data!$Y$3:$Y$178,"2022",Data!$K$3:$K$178,'Reporting 2022'!$B21)</f>
      </c>
      <c r="AG53" s="9">
        <f>SUMIFS(Data!$AD$3:$AD$178,Data!$X$3:$X$178,AG$1,Data!$Y$3:$Y$178,"2022",Data!$K$3:$K$178,'Reporting 2022'!$B21)</f>
      </c>
      <c r="AH53" s="9">
        <f>SUMIFS(Data!$AD$3:$AD$178,Data!$X$3:$X$178,AH$1,Data!$Y$3:$Y$178,"2022",Data!$K$3:$K$178,'Reporting 2022'!$B21)</f>
      </c>
      <c r="AI53" s="9">
        <f>SUMIFS(Data!$AD$3:$AD$178,Data!$X$3:$X$178,AI$1,Data!$Y$3:$Y$178,"2022",Data!$K$3:$K$178,'Reporting 2022'!$B21)</f>
      </c>
      <c r="AJ53" s="9">
        <f>SUMIFS(Data!$AD$3:$AD$178,Data!$X$3:$X$178,AJ$1,Data!$Y$3:$Y$178,"2022",Data!$K$3:$K$178,'Reporting 2022'!$B21)</f>
      </c>
      <c r="AK53" s="9">
        <f>SUMIFS(Data!$AD$3:$AD$178,Data!$X$3:$X$178,AK$1,Data!$Y$3:$Y$178,"2022",Data!$K$3:$K$178,'Reporting 2022'!$B21)</f>
      </c>
      <c r="AL53" s="9">
        <f>SUMIFS(Data!$AD$3:$AD$178,Data!$X$3:$X$178,AL$1,Data!$Y$3:$Y$178,"2022",Data!$K$3:$K$178,'Reporting 2022'!$B21)</f>
      </c>
      <c r="AM53" s="9">
        <f>SUMIFS(Data!$AD$3:$AD$178,Data!$X$3:$X$178,AM$1,Data!$Y$3:$Y$178,"2022",Data!$K$3:$K$178,'Reporting 2022'!$B21)</f>
      </c>
      <c r="AN53" s="9">
        <f>SUMIFS(Data!$AD$3:$AD$178,Data!$X$3:$X$178,AN$1,Data!$Y$3:$Y$178,"2022",Data!$K$3:$K$178,'Reporting 2022'!$B21)</f>
      </c>
      <c r="AO53" s="9">
        <f>SUMIFS(Data!$AD$3:$AD$178,Data!$X$3:$X$178,AO$1,Data!$Y$3:$Y$178,"2022",Data!$K$3:$K$178,'Reporting 2022'!$B21)</f>
      </c>
      <c r="AP53" s="9">
        <f>SUMIFS(Data!$AD$3:$AD$178,Data!$X$3:$X$178,AP$1,Data!$Y$3:$Y$178,"2022",Data!$K$3:$K$178,'Reporting 2022'!$B21)</f>
      </c>
      <c r="AQ53" s="9">
        <f>SUMIFS(Data!$AD$3:$AD$178,Data!$X$3:$X$178,AQ$1,Data!$Y$3:$Y$178,"2022",Data!$K$3:$K$178,'Reporting 2022'!$B21)</f>
      </c>
      <c r="AR53" s="9">
        <f>SUMIFS(Data!$AD$3:$AD$178,Data!$X$3:$X$178,AR$1,Data!$Y$3:$Y$178,"2022",Data!$K$3:$K$178,'Reporting 2022'!$B21)</f>
      </c>
      <c r="AS53" s="9">
        <f>SUMIFS(Data!$AD$3:$AD$178,Data!$X$3:$X$178,AS$1,Data!$Y$3:$Y$178,"2022",Data!$K$3:$K$178,'Reporting 2022'!$B21)</f>
      </c>
      <c r="AT53" s="9">
        <f>SUMIFS(Data!$AD$3:$AD$178,Data!$X$3:$X$178,AT$1,Data!$Y$3:$Y$178,"2022",Data!$K$3:$K$178,'Reporting 2022'!$B21)</f>
      </c>
      <c r="AU53" s="9">
        <f>SUMIFS(Data!$AD$3:$AD$178,Data!$X$3:$X$178,AU$1,Data!$Y$3:$Y$178,"2022",Data!$K$3:$K$178,'Reporting 2022'!$B21)</f>
      </c>
      <c r="AV53" s="9">
        <f>SUMIFS(Data!$AD$3:$AD$178,Data!$X$3:$X$178,AV$1,Data!$Y$3:$Y$178,"2022",Data!$K$3:$K$178,'Reporting 2022'!$B21)</f>
      </c>
      <c r="AW53" s="9">
        <f>SUMIFS(Data!$AD$3:$AD$178,Data!$X$3:$X$178,AW$1,Data!$Y$3:$Y$178,"2022",Data!$K$3:$K$178,'Reporting 2022'!$B21)</f>
      </c>
      <c r="AX53" s="9">
        <f>SUMIFS(Data!$AD$3:$AD$178,Data!$X$3:$X$178,AX$1,Data!$Y$3:$Y$178,"2022",Data!$K$3:$K$178,'Reporting 2022'!$B21)</f>
      </c>
      <c r="AY53" s="9">
        <f>SUMIFS(Data!$AD$3:$AD$178,Data!$X$3:$X$178,AY$1,Data!$Y$3:$Y$178,"2022",Data!$K$3:$K$178,'Reporting 2022'!$B21)</f>
      </c>
      <c r="AZ53" s="9">
        <f>SUMIFS(Data!$AD$3:$AD$178,Data!$X$3:$X$178,AZ$1,Data!$Y$3:$Y$178,"2022",Data!$K$3:$K$178,'Reporting 2022'!$B21)</f>
      </c>
      <c r="BA53" s="9">
        <f>SUMIFS(Data!$AD$3:$AD$178,Data!$X$3:$X$178,BA$1,Data!$Y$3:$Y$178,"2022",Data!$K$3:$K$178,'Reporting 2022'!$B21)</f>
      </c>
      <c r="BB53" s="9">
        <f>SUMIFS(Data!$AD$3:$AD$178,Data!$X$3:$X$178,BB$1,Data!$Y$3:$Y$178,"2022",Data!$K$3:$K$178,'Reporting 2022'!$B21)</f>
      </c>
      <c r="BC53" s="3"/>
      <c r="BD53" s="3"/>
      <c r="BE53" s="3"/>
    </row>
    <row x14ac:dyDescent="0.25" r="54" customHeight="1" ht="19.5">
      <c r="A54" s="3"/>
      <c r="B54" s="195" t="s">
        <v>477</v>
      </c>
      <c r="C54" s="9">
        <f>SUMIFS(Data!$AD$3:$AD$178,Data!$X$3:$X$178,C$1,Data!$Y$3:$Y$178,"2022",Data!$K$3:$K$178,'Reporting 2022'!$B22)</f>
      </c>
      <c r="D54" s="9">
        <f>SUMIFS(Data!$AD$3:$AD$178,Data!$X$3:$X$178,D$1,Data!$Y$3:$Y$178,"2022",Data!$K$3:$K$178,'Reporting 2022'!$B22)</f>
      </c>
      <c r="E54" s="9">
        <f>SUMIFS(Data!$AD$3:$AD$178,Data!$X$3:$X$178,E$1,Data!$Y$3:$Y$178,"2022",Data!$K$3:$K$178,'Reporting 2022'!$B22)</f>
      </c>
      <c r="F54" s="9">
        <f>SUMIFS(Data!$AD$3:$AD$178,Data!$X$3:$X$178,F$1,Data!$Y$3:$Y$178,"2022",Data!$K$3:$K$178,'Reporting 2022'!$B22)</f>
      </c>
      <c r="G54" s="9">
        <f>SUMIFS(Data!$AD$3:$AD$178,Data!$X$3:$X$178,G$1,Data!$Y$3:$Y$178,"2022",Data!$K$3:$K$178,'Reporting 2022'!$B22)</f>
      </c>
      <c r="H54" s="9">
        <f>SUMIFS(Data!$AD$3:$AD$178,Data!$X$3:$X$178,H$1,Data!$Y$3:$Y$178,"2022",Data!$K$3:$K$178,'Reporting 2022'!$B22)</f>
      </c>
      <c r="I54" s="9">
        <f>SUMIFS(Data!$AD$3:$AD$178,Data!$X$3:$X$178,I$1,Data!$Y$3:$Y$178,"2022",Data!$K$3:$K$178,'Reporting 2022'!$B22)</f>
      </c>
      <c r="J54" s="9">
        <f>SUMIFS(Data!$AD$3:$AD$178,Data!$X$3:$X$178,J$1,Data!$Y$3:$Y$178,"2022",Data!$K$3:$K$178,'Reporting 2022'!$B22)</f>
      </c>
      <c r="K54" s="9">
        <f>SUMIFS(Data!$AD$3:$AD$178,Data!$X$3:$X$178,K$1,Data!$Y$3:$Y$178,"2022",Data!$K$3:$K$178,'Reporting 2022'!$B22)</f>
      </c>
      <c r="L54" s="9">
        <f>SUMIFS(Data!$AD$3:$AD$178,Data!$X$3:$X$178,L$1,Data!$Y$3:$Y$178,"2022",Data!$K$3:$K$178,'Reporting 2022'!$B22)</f>
      </c>
      <c r="M54" s="9">
        <f>SUMIFS(Data!$AD$3:$AD$178,Data!$X$3:$X$178,M$1,Data!$Y$3:$Y$178,"2022",Data!$K$3:$K$178,'Reporting 2022'!$B22)</f>
      </c>
      <c r="N54" s="9">
        <f>SUMIFS(Data!$AD$3:$AD$178,Data!$X$3:$X$178,N$1,Data!$Y$3:$Y$178,"2022",Data!$K$3:$K$178,'Reporting 2022'!$B22)</f>
      </c>
      <c r="O54" s="9">
        <f>SUMIFS(Data!$AD$3:$AD$178,Data!$X$3:$X$178,O$1,Data!$Y$3:$Y$178,"2022",Data!$K$3:$K$178,'Reporting 2022'!$B22)</f>
      </c>
      <c r="P54" s="9">
        <f>SUMIFS(Data!$AD$3:$AD$178,Data!$X$3:$X$178,P$1,Data!$Y$3:$Y$178,"2022",Data!$K$3:$K$178,'Reporting 2022'!$B22)</f>
      </c>
      <c r="Q54" s="9">
        <f>SUMIFS(Data!$AD$3:$AD$178,Data!$X$3:$X$178,Q$1,Data!$Y$3:$Y$178,"2022",Data!$K$3:$K$178,'Reporting 2022'!$B22)</f>
      </c>
      <c r="R54" s="9">
        <f>SUMIFS(Data!$AD$3:$AD$178,Data!$X$3:$X$178,R$1,Data!$Y$3:$Y$178,"2022",Data!$K$3:$K$178,'Reporting 2022'!$B22)</f>
      </c>
      <c r="S54" s="9">
        <f>SUMIFS(Data!$AD$3:$AD$178,Data!$X$3:$X$178,S$1,Data!$Y$3:$Y$178,"2022",Data!$K$3:$K$178,'Reporting 2022'!$B22)</f>
      </c>
      <c r="T54" s="9">
        <f>SUMIFS(Data!$AD$3:$AD$178,Data!$X$3:$X$178,T$1,Data!$Y$3:$Y$178,"2022",Data!$K$3:$K$178,'Reporting 2022'!$B22)</f>
      </c>
      <c r="U54" s="9">
        <f>SUMIFS(Data!$AD$3:$AD$178,Data!$X$3:$X$178,U$1,Data!$Y$3:$Y$178,"2022",Data!$K$3:$K$178,'Reporting 2022'!$B22)</f>
      </c>
      <c r="V54" s="9">
        <f>SUMIFS(Data!$AD$3:$AD$178,Data!$X$3:$X$178,V$1,Data!$Y$3:$Y$178,"2022",Data!$K$3:$K$178,'Reporting 2022'!$B22)</f>
      </c>
      <c r="W54" s="9">
        <f>SUMIFS(Data!$AD$3:$AD$178,Data!$X$3:$X$178,W$1,Data!$Y$3:$Y$178,"2022",Data!$K$3:$K$178,'Reporting 2022'!$B22)</f>
      </c>
      <c r="X54" s="9">
        <f>SUMIFS(Data!$AD$3:$AD$178,Data!$X$3:$X$178,X$1,Data!$Y$3:$Y$178,"2022",Data!$K$3:$K$178,'Reporting 2022'!$B22)</f>
      </c>
      <c r="Y54" s="9">
        <f>SUMIFS(Data!$AD$3:$AD$178,Data!$X$3:$X$178,Y$1,Data!$Y$3:$Y$178,"2022",Data!$K$3:$K$178,'Reporting 2022'!$B22)</f>
      </c>
      <c r="Z54" s="9">
        <f>SUMIFS(Data!$AD$3:$AD$178,Data!$X$3:$X$178,Z$1,Data!$Y$3:$Y$178,"2022",Data!$K$3:$K$178,'Reporting 2022'!$B22)</f>
      </c>
      <c r="AA54" s="9">
        <f>SUMIFS(Data!$AD$3:$AD$178,Data!$X$3:$X$178,AA$1,Data!$Y$3:$Y$178,"2022",Data!$K$3:$K$178,'Reporting 2022'!$B22)</f>
      </c>
      <c r="AB54" s="9">
        <f>SUMIFS(Data!$AD$3:$AD$178,Data!$X$3:$X$178,AB$1,Data!$Y$3:$Y$178,"2022",Data!$K$3:$K$178,'Reporting 2022'!$B22)</f>
      </c>
      <c r="AC54" s="9">
        <f>SUMIFS(Data!$AD$3:$AD$178,Data!$X$3:$X$178,AC$1,Data!$Y$3:$Y$178,"2022",Data!$K$3:$K$178,'Reporting 2022'!$B22)</f>
      </c>
      <c r="AD54" s="9">
        <f>SUMIFS(Data!$AD$3:$AD$178,Data!$X$3:$X$178,AD$1,Data!$Y$3:$Y$178,"2022",Data!$K$3:$K$178,'Reporting 2022'!$B22)</f>
      </c>
      <c r="AE54" s="9">
        <f>SUMIFS(Data!$AD$3:$AD$178,Data!$X$3:$X$178,AE$1,Data!$Y$3:$Y$178,"2022",Data!$K$3:$K$178,'Reporting 2022'!$B22)</f>
      </c>
      <c r="AF54" s="9">
        <f>SUMIFS(Data!$AD$3:$AD$178,Data!$X$3:$X$178,AF$1,Data!$Y$3:$Y$178,"2022",Data!$K$3:$K$178,'Reporting 2022'!$B22)</f>
      </c>
      <c r="AG54" s="9">
        <f>SUMIFS(Data!$AD$3:$AD$178,Data!$X$3:$X$178,AG$1,Data!$Y$3:$Y$178,"2022",Data!$K$3:$K$178,'Reporting 2022'!$B22)</f>
      </c>
      <c r="AH54" s="9">
        <f>SUMIFS(Data!$AD$3:$AD$178,Data!$X$3:$X$178,AH$1,Data!$Y$3:$Y$178,"2022",Data!$K$3:$K$178,'Reporting 2022'!$B22)</f>
      </c>
      <c r="AI54" s="9">
        <f>SUMIFS(Data!$AD$3:$AD$178,Data!$X$3:$X$178,AI$1,Data!$Y$3:$Y$178,"2022",Data!$K$3:$K$178,'Reporting 2022'!$B22)</f>
      </c>
      <c r="AJ54" s="9">
        <f>SUMIFS(Data!$AD$3:$AD$178,Data!$X$3:$X$178,AJ$1,Data!$Y$3:$Y$178,"2022",Data!$K$3:$K$178,'Reporting 2022'!$B22)</f>
      </c>
      <c r="AK54" s="9">
        <f>SUMIFS(Data!$AD$3:$AD$178,Data!$X$3:$X$178,AK$1,Data!$Y$3:$Y$178,"2022",Data!$K$3:$K$178,'Reporting 2022'!$B22)</f>
      </c>
      <c r="AL54" s="9">
        <f>SUMIFS(Data!$AD$3:$AD$178,Data!$X$3:$X$178,AL$1,Data!$Y$3:$Y$178,"2022",Data!$K$3:$K$178,'Reporting 2022'!$B22)</f>
      </c>
      <c r="AM54" s="9">
        <f>SUMIFS(Data!$AD$3:$AD$178,Data!$X$3:$X$178,AM$1,Data!$Y$3:$Y$178,"2022",Data!$K$3:$K$178,'Reporting 2022'!$B22)</f>
      </c>
      <c r="AN54" s="9">
        <f>SUMIFS(Data!$AD$3:$AD$178,Data!$X$3:$X$178,AN$1,Data!$Y$3:$Y$178,"2022",Data!$K$3:$K$178,'Reporting 2022'!$B22)</f>
      </c>
      <c r="AO54" s="9">
        <f>SUMIFS(Data!$AD$3:$AD$178,Data!$X$3:$X$178,AO$1,Data!$Y$3:$Y$178,"2022",Data!$K$3:$K$178,'Reporting 2022'!$B22)</f>
      </c>
      <c r="AP54" s="9">
        <f>SUMIFS(Data!$AD$3:$AD$178,Data!$X$3:$X$178,AP$1,Data!$Y$3:$Y$178,"2022",Data!$K$3:$K$178,'Reporting 2022'!$B22)</f>
      </c>
      <c r="AQ54" s="9">
        <f>SUMIFS(Data!$AD$3:$AD$178,Data!$X$3:$X$178,AQ$1,Data!$Y$3:$Y$178,"2022",Data!$K$3:$K$178,'Reporting 2022'!$B22)</f>
      </c>
      <c r="AR54" s="9">
        <f>SUMIFS(Data!$AD$3:$AD$178,Data!$X$3:$X$178,AR$1,Data!$Y$3:$Y$178,"2022",Data!$K$3:$K$178,'Reporting 2022'!$B22)</f>
      </c>
      <c r="AS54" s="9">
        <f>SUMIFS(Data!$AD$3:$AD$178,Data!$X$3:$X$178,AS$1,Data!$Y$3:$Y$178,"2022",Data!$K$3:$K$178,'Reporting 2022'!$B22)</f>
      </c>
      <c r="AT54" s="9">
        <f>SUMIFS(Data!$AD$3:$AD$178,Data!$X$3:$X$178,AT$1,Data!$Y$3:$Y$178,"2022",Data!$K$3:$K$178,'Reporting 2022'!$B22)</f>
      </c>
      <c r="AU54" s="9">
        <f>SUMIFS(Data!$AD$3:$AD$178,Data!$X$3:$X$178,AU$1,Data!$Y$3:$Y$178,"2022",Data!$K$3:$K$178,'Reporting 2022'!$B22)</f>
      </c>
      <c r="AV54" s="9">
        <f>SUMIFS(Data!$AD$3:$AD$178,Data!$X$3:$X$178,AV$1,Data!$Y$3:$Y$178,"2022",Data!$K$3:$K$178,'Reporting 2022'!$B22)</f>
      </c>
      <c r="AW54" s="9">
        <f>SUMIFS(Data!$AD$3:$AD$178,Data!$X$3:$X$178,AW$1,Data!$Y$3:$Y$178,"2022",Data!$K$3:$K$178,'Reporting 2022'!$B22)</f>
      </c>
      <c r="AX54" s="9">
        <f>SUMIFS(Data!$AD$3:$AD$178,Data!$X$3:$X$178,AX$1,Data!$Y$3:$Y$178,"2022",Data!$K$3:$K$178,'Reporting 2022'!$B22)</f>
      </c>
      <c r="AY54" s="9">
        <f>SUMIFS(Data!$AD$3:$AD$178,Data!$X$3:$X$178,AY$1,Data!$Y$3:$Y$178,"2022",Data!$K$3:$K$178,'Reporting 2022'!$B22)</f>
      </c>
      <c r="AZ54" s="9">
        <f>SUMIFS(Data!$AD$3:$AD$178,Data!$X$3:$X$178,AZ$1,Data!$Y$3:$Y$178,"2022",Data!$K$3:$K$178,'Reporting 2022'!$B22)</f>
      </c>
      <c r="BA54" s="9">
        <f>SUMIFS(Data!$AD$3:$AD$178,Data!$X$3:$X$178,BA$1,Data!$Y$3:$Y$178,"2022",Data!$K$3:$K$178,'Reporting 2022'!$B22)</f>
      </c>
      <c r="BB54" s="9">
        <f>SUMIFS(Data!$AD$3:$AD$178,Data!$X$3:$X$178,BB$1,Data!$Y$3:$Y$178,"2022",Data!$K$3:$K$178,'Reporting 2022'!$B22)</f>
      </c>
      <c r="BC54" s="3"/>
      <c r="BD54" s="3"/>
      <c r="BE54" s="3"/>
    </row>
    <row x14ac:dyDescent="0.25" r="55" customHeight="1" ht="19.5">
      <c r="A55" s="3"/>
      <c r="B55" s="195" t="s">
        <v>478</v>
      </c>
      <c r="C55" s="9">
        <f>SUMIFS(Data!$AD$3:$AD$178,Data!$X$3:$X$178,C$1,Data!$Y$3:$Y$178,"2022",Data!$K$3:$K$178,'Reporting 2022'!$B23)</f>
      </c>
      <c r="D55" s="9">
        <f>SUMIFS(Data!$AD$3:$AD$178,Data!$X$3:$X$178,D$1,Data!$Y$3:$Y$178,"2022",Data!$K$3:$K$178,'Reporting 2022'!$B23)</f>
      </c>
      <c r="E55" s="9">
        <f>SUMIFS(Data!$AD$3:$AD$178,Data!$X$3:$X$178,E$1,Data!$Y$3:$Y$178,"2022",Data!$K$3:$K$178,'Reporting 2022'!$B23)</f>
      </c>
      <c r="F55" s="9">
        <f>SUMIFS(Data!$AD$3:$AD$178,Data!$X$3:$X$178,F$1,Data!$Y$3:$Y$178,"2022",Data!$K$3:$K$178,'Reporting 2022'!$B23)</f>
      </c>
      <c r="G55" s="9">
        <f>SUMIFS(Data!$AD$3:$AD$178,Data!$X$3:$X$178,G$1,Data!$Y$3:$Y$178,"2022",Data!$K$3:$K$178,'Reporting 2022'!$B23)</f>
      </c>
      <c r="H55" s="9">
        <f>SUMIFS(Data!$AD$3:$AD$178,Data!$X$3:$X$178,H$1,Data!$Y$3:$Y$178,"2022",Data!$K$3:$K$178,'Reporting 2022'!$B23)</f>
      </c>
      <c r="I55" s="9">
        <f>SUMIFS(Data!$AD$3:$AD$178,Data!$X$3:$X$178,I$1,Data!$Y$3:$Y$178,"2022",Data!$K$3:$K$178,'Reporting 2022'!$B23)</f>
      </c>
      <c r="J55" s="9">
        <f>SUMIFS(Data!$AD$3:$AD$178,Data!$X$3:$X$178,J$1,Data!$Y$3:$Y$178,"2022",Data!$K$3:$K$178,'Reporting 2022'!$B23)</f>
      </c>
      <c r="K55" s="9">
        <f>SUMIFS(Data!$AD$3:$AD$178,Data!$X$3:$X$178,K$1,Data!$Y$3:$Y$178,"2022",Data!$K$3:$K$178,'Reporting 2022'!$B23)</f>
      </c>
      <c r="L55" s="9">
        <f>SUMIFS(Data!$AD$3:$AD$178,Data!$X$3:$X$178,L$1,Data!$Y$3:$Y$178,"2022",Data!$K$3:$K$178,'Reporting 2022'!$B23)</f>
      </c>
      <c r="M55" s="9">
        <f>SUMIFS(Data!$AD$3:$AD$178,Data!$X$3:$X$178,M$1,Data!$Y$3:$Y$178,"2022",Data!$K$3:$K$178,'Reporting 2022'!$B23)</f>
      </c>
      <c r="N55" s="9">
        <f>SUMIFS(Data!$AD$3:$AD$178,Data!$X$3:$X$178,N$1,Data!$Y$3:$Y$178,"2022",Data!$K$3:$K$178,'Reporting 2022'!$B23)</f>
      </c>
      <c r="O55" s="9">
        <f>SUMIFS(Data!$AD$3:$AD$178,Data!$X$3:$X$178,O$1,Data!$Y$3:$Y$178,"2022",Data!$K$3:$K$178,'Reporting 2022'!$B23)</f>
      </c>
      <c r="P55" s="9">
        <f>SUMIFS(Data!$AD$3:$AD$178,Data!$X$3:$X$178,P$1,Data!$Y$3:$Y$178,"2022",Data!$K$3:$K$178,'Reporting 2022'!$B23)</f>
      </c>
      <c r="Q55" s="9">
        <f>SUMIFS(Data!$AD$3:$AD$178,Data!$X$3:$X$178,Q$1,Data!$Y$3:$Y$178,"2022",Data!$K$3:$K$178,'Reporting 2022'!$B23)</f>
      </c>
      <c r="R55" s="9">
        <f>SUMIFS(Data!$AD$3:$AD$178,Data!$X$3:$X$178,R$1,Data!$Y$3:$Y$178,"2022",Data!$K$3:$K$178,'Reporting 2022'!$B23)</f>
      </c>
      <c r="S55" s="9">
        <f>SUMIFS(Data!$AD$3:$AD$178,Data!$X$3:$X$178,S$1,Data!$Y$3:$Y$178,"2022",Data!$K$3:$K$178,'Reporting 2022'!$B23)</f>
      </c>
      <c r="T55" s="9">
        <f>SUMIFS(Data!$AD$3:$AD$178,Data!$X$3:$X$178,T$1,Data!$Y$3:$Y$178,"2022",Data!$K$3:$K$178,'Reporting 2022'!$B23)</f>
      </c>
      <c r="U55" s="9">
        <f>SUMIFS(Data!$AD$3:$AD$178,Data!$X$3:$X$178,U$1,Data!$Y$3:$Y$178,"2022",Data!$K$3:$K$178,'Reporting 2022'!$B23)</f>
      </c>
      <c r="V55" s="9">
        <f>SUMIFS(Data!$AD$3:$AD$178,Data!$X$3:$X$178,V$1,Data!$Y$3:$Y$178,"2022",Data!$K$3:$K$178,'Reporting 2022'!$B23)</f>
      </c>
      <c r="W55" s="9">
        <f>SUMIFS(Data!$AD$3:$AD$178,Data!$X$3:$X$178,W$1,Data!$Y$3:$Y$178,"2022",Data!$K$3:$K$178,'Reporting 2022'!$B23)</f>
      </c>
      <c r="X55" s="9">
        <f>SUMIFS(Data!$AD$3:$AD$178,Data!$X$3:$X$178,X$1,Data!$Y$3:$Y$178,"2022",Data!$K$3:$K$178,'Reporting 2022'!$B23)</f>
      </c>
      <c r="Y55" s="9">
        <f>SUMIFS(Data!$AD$3:$AD$178,Data!$X$3:$X$178,Y$1,Data!$Y$3:$Y$178,"2022",Data!$K$3:$K$178,'Reporting 2022'!$B23)</f>
      </c>
      <c r="Z55" s="9">
        <f>SUMIFS(Data!$AD$3:$AD$178,Data!$X$3:$X$178,Z$1,Data!$Y$3:$Y$178,"2022",Data!$K$3:$K$178,'Reporting 2022'!$B23)</f>
      </c>
      <c r="AA55" s="9">
        <f>SUMIFS(Data!$AD$3:$AD$178,Data!$X$3:$X$178,AA$1,Data!$Y$3:$Y$178,"2022",Data!$K$3:$K$178,'Reporting 2022'!$B23)</f>
      </c>
      <c r="AB55" s="9">
        <f>SUMIFS(Data!$AD$3:$AD$178,Data!$X$3:$X$178,AB$1,Data!$Y$3:$Y$178,"2022",Data!$K$3:$K$178,'Reporting 2022'!$B23)</f>
      </c>
      <c r="AC55" s="9">
        <f>SUMIFS(Data!$AD$3:$AD$178,Data!$X$3:$X$178,AC$1,Data!$Y$3:$Y$178,"2022",Data!$K$3:$K$178,'Reporting 2022'!$B23)</f>
      </c>
      <c r="AD55" s="9">
        <f>SUMIFS(Data!$AD$3:$AD$178,Data!$X$3:$X$178,AD$1,Data!$Y$3:$Y$178,"2022",Data!$K$3:$K$178,'Reporting 2022'!$B23)</f>
      </c>
      <c r="AE55" s="9">
        <f>SUMIFS(Data!$AD$3:$AD$178,Data!$X$3:$X$178,AE$1,Data!$Y$3:$Y$178,"2022",Data!$K$3:$K$178,'Reporting 2022'!$B23)</f>
      </c>
      <c r="AF55" s="9">
        <f>SUMIFS(Data!$AD$3:$AD$178,Data!$X$3:$X$178,AF$1,Data!$Y$3:$Y$178,"2022",Data!$K$3:$K$178,'Reporting 2022'!$B23)</f>
      </c>
      <c r="AG55" s="9">
        <f>SUMIFS(Data!$AD$3:$AD$178,Data!$X$3:$X$178,AG$1,Data!$Y$3:$Y$178,"2022",Data!$K$3:$K$178,'Reporting 2022'!$B23)</f>
      </c>
      <c r="AH55" s="9">
        <f>SUMIFS(Data!$AD$3:$AD$178,Data!$X$3:$X$178,AH$1,Data!$Y$3:$Y$178,"2022",Data!$K$3:$K$178,'Reporting 2022'!$B23)</f>
      </c>
      <c r="AI55" s="9">
        <f>SUMIFS(Data!$AD$3:$AD$178,Data!$X$3:$X$178,AI$1,Data!$Y$3:$Y$178,"2022",Data!$K$3:$K$178,'Reporting 2022'!$B23)</f>
      </c>
      <c r="AJ55" s="9">
        <f>SUMIFS(Data!$AD$3:$AD$178,Data!$X$3:$X$178,AJ$1,Data!$Y$3:$Y$178,"2022",Data!$K$3:$K$178,'Reporting 2022'!$B23)</f>
      </c>
      <c r="AK55" s="9">
        <f>SUMIFS(Data!$AD$3:$AD$178,Data!$X$3:$X$178,AK$1,Data!$Y$3:$Y$178,"2022",Data!$K$3:$K$178,'Reporting 2022'!$B23)</f>
      </c>
      <c r="AL55" s="9">
        <f>SUMIFS(Data!$AD$3:$AD$178,Data!$X$3:$X$178,AL$1,Data!$Y$3:$Y$178,"2022",Data!$K$3:$K$178,'Reporting 2022'!$B23)</f>
      </c>
      <c r="AM55" s="9">
        <f>SUMIFS(Data!$AD$3:$AD$178,Data!$X$3:$X$178,AM$1,Data!$Y$3:$Y$178,"2022",Data!$K$3:$K$178,'Reporting 2022'!$B23)</f>
      </c>
      <c r="AN55" s="9">
        <f>SUMIFS(Data!$AD$3:$AD$178,Data!$X$3:$X$178,AN$1,Data!$Y$3:$Y$178,"2022",Data!$K$3:$K$178,'Reporting 2022'!$B23)</f>
      </c>
      <c r="AO55" s="9">
        <f>SUMIFS(Data!$AD$3:$AD$178,Data!$X$3:$X$178,AO$1,Data!$Y$3:$Y$178,"2022",Data!$K$3:$K$178,'Reporting 2022'!$B23)</f>
      </c>
      <c r="AP55" s="9">
        <f>SUMIFS(Data!$AD$3:$AD$178,Data!$X$3:$X$178,AP$1,Data!$Y$3:$Y$178,"2022",Data!$K$3:$K$178,'Reporting 2022'!$B23)</f>
      </c>
      <c r="AQ55" s="9">
        <f>SUMIFS(Data!$AD$3:$AD$178,Data!$X$3:$X$178,AQ$1,Data!$Y$3:$Y$178,"2022",Data!$K$3:$K$178,'Reporting 2022'!$B23)</f>
      </c>
      <c r="AR55" s="9">
        <f>SUMIFS(Data!$AD$3:$AD$178,Data!$X$3:$X$178,AR$1,Data!$Y$3:$Y$178,"2022",Data!$K$3:$K$178,'Reporting 2022'!$B23)</f>
      </c>
      <c r="AS55" s="9">
        <f>SUMIFS(Data!$AD$3:$AD$178,Data!$X$3:$X$178,AS$1,Data!$Y$3:$Y$178,"2022",Data!$K$3:$K$178,'Reporting 2022'!$B23)</f>
      </c>
      <c r="AT55" s="9">
        <f>SUMIFS(Data!$AD$3:$AD$178,Data!$X$3:$X$178,AT$1,Data!$Y$3:$Y$178,"2022",Data!$K$3:$K$178,'Reporting 2022'!$B23)</f>
      </c>
      <c r="AU55" s="9">
        <f>SUMIFS(Data!$AD$3:$AD$178,Data!$X$3:$X$178,AU$1,Data!$Y$3:$Y$178,"2022",Data!$K$3:$K$178,'Reporting 2022'!$B23)</f>
      </c>
      <c r="AV55" s="9">
        <f>SUMIFS(Data!$AD$3:$AD$178,Data!$X$3:$X$178,AV$1,Data!$Y$3:$Y$178,"2022",Data!$K$3:$K$178,'Reporting 2022'!$B23)</f>
      </c>
      <c r="AW55" s="9">
        <f>SUMIFS(Data!$AD$3:$AD$178,Data!$X$3:$X$178,AW$1,Data!$Y$3:$Y$178,"2022",Data!$K$3:$K$178,'Reporting 2022'!$B23)</f>
      </c>
      <c r="AX55" s="9">
        <f>SUMIFS(Data!$AD$3:$AD$178,Data!$X$3:$X$178,AX$1,Data!$Y$3:$Y$178,"2022",Data!$K$3:$K$178,'Reporting 2022'!$B23)</f>
      </c>
      <c r="AY55" s="9">
        <f>SUMIFS(Data!$AD$3:$AD$178,Data!$X$3:$X$178,AY$1,Data!$Y$3:$Y$178,"2022",Data!$K$3:$K$178,'Reporting 2022'!$B23)</f>
      </c>
      <c r="AZ55" s="9">
        <f>SUMIFS(Data!$AD$3:$AD$178,Data!$X$3:$X$178,AZ$1,Data!$Y$3:$Y$178,"2022",Data!$K$3:$K$178,'Reporting 2022'!$B23)</f>
      </c>
      <c r="BA55" s="9">
        <f>SUMIFS(Data!$AD$3:$AD$178,Data!$X$3:$X$178,BA$1,Data!$Y$3:$Y$178,"2022",Data!$K$3:$K$178,'Reporting 2022'!$B23)</f>
      </c>
      <c r="BB55" s="9">
        <f>SUMIFS(Data!$AD$3:$AD$178,Data!$X$3:$X$178,BB$1,Data!$Y$3:$Y$178,"2022",Data!$K$3:$K$178,'Reporting 2022'!$B23)</f>
      </c>
      <c r="BC55" s="3"/>
      <c r="BD55" s="3"/>
      <c r="BE55" s="3"/>
    </row>
    <row x14ac:dyDescent="0.25" r="56" customHeight="1" ht="15">
      <c r="A56" s="3"/>
      <c r="B56" s="516" t="s">
        <v>479</v>
      </c>
      <c r="C56" s="429">
        <f>SUMIFS(Data!$AD$3:$AD$178,Data!$X$3:$X$178,C$1,Data!$Y$3:$Y$178,"2022",Data!$K$3:$K$178,'Reporting 2022'!$B24)</f>
      </c>
      <c r="D56" s="429">
        <f>SUMIFS(Data!$AD$3:$AD$178,Data!$X$3:$X$178,D$1,Data!$Y$3:$Y$178,"2022",Data!$K$3:$K$178,'Reporting 2022'!$B24)</f>
      </c>
      <c r="E56" s="429">
        <f>SUMIFS(Data!$AD$3:$AD$178,Data!$X$3:$X$178,E$1,Data!$Y$3:$Y$178,"2022",Data!$K$3:$K$178,'Reporting 2022'!$B24)</f>
      </c>
      <c r="F56" s="429">
        <f>SUMIFS(Data!$AD$3:$AD$178,Data!$X$3:$X$178,F$1,Data!$Y$3:$Y$178,"2022",Data!$K$3:$K$178,'Reporting 2022'!$B24)</f>
      </c>
      <c r="G56" s="429">
        <f>SUMIFS(Data!$AD$3:$AD$178,Data!$X$3:$X$178,G$1,Data!$Y$3:$Y$178,"2022",Data!$K$3:$K$178,'Reporting 2022'!$B24)</f>
      </c>
      <c r="H56" s="429">
        <f>SUMIFS(Data!$AD$3:$AD$178,Data!$X$3:$X$178,H$1,Data!$Y$3:$Y$178,"2022",Data!$K$3:$K$178,'Reporting 2022'!$B24)</f>
      </c>
      <c r="I56" s="429">
        <f>SUMIFS(Data!$AD$3:$AD$178,Data!$X$3:$X$178,I$1,Data!$Y$3:$Y$178,"2022",Data!$K$3:$K$178,'Reporting 2022'!$B24)</f>
      </c>
      <c r="J56" s="429">
        <f>SUMIFS(Data!$AD$3:$AD$178,Data!$X$3:$X$178,J$1,Data!$Y$3:$Y$178,"2022",Data!$K$3:$K$178,'Reporting 2022'!$B24)</f>
      </c>
      <c r="K56" s="429">
        <f>SUMIFS(Data!$AD$3:$AD$178,Data!$X$3:$X$178,K$1,Data!$Y$3:$Y$178,"2022",Data!$K$3:$K$178,'Reporting 2022'!$B24)</f>
      </c>
      <c r="L56" s="429">
        <f>SUMIFS(Data!$AD$3:$AD$178,Data!$X$3:$X$178,L$1,Data!$Y$3:$Y$178,"2022",Data!$K$3:$K$178,'Reporting 2022'!$B24)</f>
      </c>
      <c r="M56" s="429">
        <f>SUMIFS(Data!$AD$3:$AD$178,Data!$X$3:$X$178,M$1,Data!$Y$3:$Y$178,"2022",Data!$K$3:$K$178,'Reporting 2022'!$B24)</f>
      </c>
      <c r="N56" s="429">
        <f>SUMIFS(Data!$AD$3:$AD$178,Data!$X$3:$X$178,N$1,Data!$Y$3:$Y$178,"2022",Data!$K$3:$K$178,'Reporting 2022'!$B24)</f>
      </c>
      <c r="O56" s="429">
        <f>SUMIFS(Data!$AD$3:$AD$178,Data!$X$3:$X$178,O$1,Data!$Y$3:$Y$178,"2022",Data!$K$3:$K$178,'Reporting 2022'!$B24)</f>
      </c>
      <c r="P56" s="429">
        <f>SUMIFS(Data!$AD$3:$AD$178,Data!$X$3:$X$178,P$1,Data!$Y$3:$Y$178,"2022",Data!$K$3:$K$178,'Reporting 2022'!$B24)</f>
      </c>
      <c r="Q56" s="429">
        <f>SUMIFS(Data!$AD$3:$AD$178,Data!$X$3:$X$178,Q$1,Data!$Y$3:$Y$178,"2022",Data!$K$3:$K$178,'Reporting 2022'!$B24)</f>
      </c>
      <c r="R56" s="429">
        <f>SUMIFS(Data!$AD$3:$AD$178,Data!$X$3:$X$178,R$1,Data!$Y$3:$Y$178,"2022",Data!$K$3:$K$178,'Reporting 2022'!$B24)</f>
      </c>
      <c r="S56" s="429">
        <f>SUMIFS(Data!$AD$3:$AD$178,Data!$X$3:$X$178,S$1,Data!$Y$3:$Y$178,"2022",Data!$K$3:$K$178,'Reporting 2022'!$B24)</f>
      </c>
      <c r="T56" s="429">
        <f>SUMIFS(Data!$AD$3:$AD$178,Data!$X$3:$X$178,T$1,Data!$Y$3:$Y$178,"2022",Data!$K$3:$K$178,'Reporting 2022'!$B24)</f>
      </c>
      <c r="U56" s="429">
        <f>SUMIFS(Data!$AD$3:$AD$178,Data!$X$3:$X$178,U$1,Data!$Y$3:$Y$178,"2022",Data!$K$3:$K$178,'Reporting 2022'!$B24)</f>
      </c>
      <c r="V56" s="429">
        <f>SUMIFS(Data!$AD$3:$AD$178,Data!$X$3:$X$178,V$1,Data!$Y$3:$Y$178,"2022",Data!$K$3:$K$178,'Reporting 2022'!$B24)</f>
      </c>
      <c r="W56" s="429">
        <f>SUMIFS(Data!$AD$3:$AD$178,Data!$X$3:$X$178,W$1,Data!$Y$3:$Y$178,"2022",Data!$K$3:$K$178,'Reporting 2022'!$B24)</f>
      </c>
      <c r="X56" s="429">
        <f>SUMIFS(Data!$AD$3:$AD$178,Data!$X$3:$X$178,X$1,Data!$Y$3:$Y$178,"2022",Data!$K$3:$K$178,'Reporting 2022'!$B24)</f>
      </c>
      <c r="Y56" s="429">
        <f>SUMIFS(Data!$AD$3:$AD$178,Data!$X$3:$X$178,Y$1,Data!$Y$3:$Y$178,"2022",Data!$K$3:$K$178,'Reporting 2022'!$B24)</f>
      </c>
      <c r="Z56" s="429">
        <f>SUMIFS(Data!$AD$3:$AD$178,Data!$X$3:$X$178,Z$1,Data!$Y$3:$Y$178,"2022",Data!$K$3:$K$178,'Reporting 2022'!$B24)</f>
      </c>
      <c r="AA56" s="429">
        <f>SUMIFS(Data!$AD$3:$AD$178,Data!$X$3:$X$178,AA$1,Data!$Y$3:$Y$178,"2022",Data!$K$3:$K$178,'Reporting 2022'!$B24)</f>
      </c>
      <c r="AB56" s="429">
        <f>SUMIFS(Data!$AD$3:$AD$178,Data!$X$3:$X$178,AB$1,Data!$Y$3:$Y$178,"2022",Data!$K$3:$K$178,'Reporting 2022'!$B24)</f>
      </c>
      <c r="AC56" s="429">
        <f>SUMIFS(Data!$AD$3:$AD$178,Data!$X$3:$X$178,AC$1,Data!$Y$3:$Y$178,"2022",Data!$K$3:$K$178,'Reporting 2022'!$B24)</f>
      </c>
      <c r="AD56" s="429">
        <f>SUMIFS(Data!$AD$3:$AD$178,Data!$X$3:$X$178,AD$1,Data!$Y$3:$Y$178,"2022",Data!$K$3:$K$178,'Reporting 2022'!$B24)</f>
      </c>
      <c r="AE56" s="429">
        <f>SUMIFS(Data!$AD$3:$AD$178,Data!$X$3:$X$178,AE$1,Data!$Y$3:$Y$178,"2022",Data!$K$3:$K$178,'Reporting 2022'!$B24)</f>
      </c>
      <c r="AF56" s="429">
        <f>SUMIFS(Data!$AD$3:$AD$178,Data!$X$3:$X$178,AF$1,Data!$Y$3:$Y$178,"2022",Data!$K$3:$K$178,'Reporting 2022'!$B24)</f>
      </c>
      <c r="AG56" s="429">
        <f>SUMIFS(Data!$AD$3:$AD$178,Data!$X$3:$X$178,AG$1,Data!$Y$3:$Y$178,"2022",Data!$K$3:$K$178,'Reporting 2022'!$B24)</f>
      </c>
      <c r="AH56" s="429">
        <f>SUMIFS(Data!$AD$3:$AD$178,Data!$X$3:$X$178,AH$1,Data!$Y$3:$Y$178,"2022",Data!$K$3:$K$178,'Reporting 2022'!$B24)</f>
      </c>
      <c r="AI56" s="429">
        <f>SUMIFS(Data!$AD$3:$AD$178,Data!$X$3:$X$178,AI$1,Data!$Y$3:$Y$178,"2022",Data!$K$3:$K$178,'Reporting 2022'!$B24)</f>
      </c>
      <c r="AJ56" s="429">
        <f>SUMIFS(Data!$AD$3:$AD$178,Data!$X$3:$X$178,AJ$1,Data!$Y$3:$Y$178,"2022",Data!$K$3:$K$178,'Reporting 2022'!$B24)</f>
      </c>
      <c r="AK56" s="429">
        <f>SUMIFS(Data!$AD$3:$AD$178,Data!$X$3:$X$178,AK$1,Data!$Y$3:$Y$178,"2022",Data!$K$3:$K$178,'Reporting 2022'!$B24)</f>
      </c>
      <c r="AL56" s="429">
        <f>SUMIFS(Data!$AD$3:$AD$178,Data!$X$3:$X$178,AL$1,Data!$Y$3:$Y$178,"2022",Data!$K$3:$K$178,'Reporting 2022'!$B24)</f>
      </c>
      <c r="AM56" s="429">
        <f>SUMIFS(Data!$AD$3:$AD$178,Data!$X$3:$X$178,AM$1,Data!$Y$3:$Y$178,"2022",Data!$K$3:$K$178,'Reporting 2022'!$B24)</f>
      </c>
      <c r="AN56" s="429">
        <f>SUMIFS(Data!$AD$3:$AD$178,Data!$X$3:$X$178,AN$1,Data!$Y$3:$Y$178,"2022",Data!$K$3:$K$178,'Reporting 2022'!$B24)</f>
      </c>
      <c r="AO56" s="429">
        <f>SUMIFS(Data!$AD$3:$AD$178,Data!$X$3:$X$178,AO$1,Data!$Y$3:$Y$178,"2022",Data!$K$3:$K$178,'Reporting 2022'!$B24)</f>
      </c>
      <c r="AP56" s="429">
        <f>SUMIFS(Data!$AD$3:$AD$178,Data!$X$3:$X$178,AP$1,Data!$Y$3:$Y$178,"2022",Data!$K$3:$K$178,'Reporting 2022'!$B24)</f>
      </c>
      <c r="AQ56" s="429">
        <f>SUMIFS(Data!$AD$3:$AD$178,Data!$X$3:$X$178,AQ$1,Data!$Y$3:$Y$178,"2022",Data!$K$3:$K$178,'Reporting 2022'!$B24)</f>
      </c>
      <c r="AR56" s="429">
        <f>SUMIFS(Data!$AD$3:$AD$178,Data!$X$3:$X$178,AR$1,Data!$Y$3:$Y$178,"2022",Data!$K$3:$K$178,'Reporting 2022'!$B24)</f>
      </c>
      <c r="AS56" s="429">
        <f>SUMIFS(Data!$AD$3:$AD$178,Data!$X$3:$X$178,AS$1,Data!$Y$3:$Y$178,"2022",Data!$K$3:$K$178,'Reporting 2022'!$B24)</f>
      </c>
      <c r="AT56" s="429">
        <f>SUMIFS(Data!$AD$3:$AD$178,Data!$X$3:$X$178,AT$1,Data!$Y$3:$Y$178,"2022",Data!$K$3:$K$178,'Reporting 2022'!$B24)</f>
      </c>
      <c r="AU56" s="429">
        <f>SUMIFS(Data!$AD$3:$AD$178,Data!$X$3:$X$178,AU$1,Data!$Y$3:$Y$178,"2022",Data!$K$3:$K$178,'Reporting 2022'!$B24)</f>
      </c>
      <c r="AV56" s="429">
        <f>SUMIFS(Data!$AD$3:$AD$178,Data!$X$3:$X$178,AV$1,Data!$Y$3:$Y$178,"2022",Data!$K$3:$K$178,'Reporting 2022'!$B24)</f>
      </c>
      <c r="AW56" s="429">
        <f>SUMIFS(Data!$AD$3:$AD$178,Data!$X$3:$X$178,AW$1,Data!$Y$3:$Y$178,"2022",Data!$K$3:$K$178,'Reporting 2022'!$B24)</f>
      </c>
      <c r="AX56" s="429">
        <f>SUMIFS(Data!$AD$3:$AD$178,Data!$X$3:$X$178,AX$1,Data!$Y$3:$Y$178,"2022",Data!$K$3:$K$178,'Reporting 2022'!$B24)</f>
      </c>
      <c r="AY56" s="429">
        <f>SUMIFS(Data!$AD$3:$AD$178,Data!$X$3:$X$178,AY$1,Data!$Y$3:$Y$178,"2022",Data!$K$3:$K$178,'Reporting 2022'!$B24)</f>
      </c>
      <c r="AZ56" s="429">
        <f>SUMIFS(Data!$AD$3:$AD$178,Data!$X$3:$X$178,AZ$1,Data!$Y$3:$Y$178,"2022",Data!$K$3:$K$178,'Reporting 2022'!$B24)</f>
      </c>
      <c r="BA56" s="429">
        <f>SUMIFS(Data!$AD$3:$AD$178,Data!$X$3:$X$178,BA$1,Data!$Y$3:$Y$178,"2022",Data!$K$3:$K$178,'Reporting 2022'!$B24)</f>
      </c>
      <c r="BB56" s="429">
        <f>SUMIFS(Data!$AD$3:$AD$178,Data!$X$3:$X$178,BB$1,Data!$Y$3:$Y$178,"2022",Data!$K$3:$K$178,'Reporting 2022'!$B24)</f>
      </c>
      <c r="BC56" s="3"/>
      <c r="BD56" s="3"/>
      <c r="BE56" s="3"/>
    </row>
    <row x14ac:dyDescent="0.25" r="57" customHeight="1" ht="15">
      <c r="A57" s="3"/>
      <c r="B57" s="195" t="s">
        <v>480</v>
      </c>
      <c r="C57" s="430">
        <f>C47</f>
      </c>
      <c r="D57" s="430">
        <f>C57+D47</f>
      </c>
      <c r="E57" s="430">
        <f>D57+E47</f>
      </c>
      <c r="F57" s="430">
        <f>E57+F47</f>
      </c>
      <c r="G57" s="430">
        <f>F57+G47</f>
      </c>
      <c r="H57" s="430">
        <f>G57+H47</f>
      </c>
      <c r="I57" s="430">
        <f>H57+I47</f>
      </c>
      <c r="J57" s="430">
        <f>I57+J47</f>
      </c>
      <c r="K57" s="430">
        <f>J57+K47</f>
      </c>
      <c r="L57" s="430">
        <f>K57+L47</f>
      </c>
      <c r="M57" s="430">
        <f>L57+M47</f>
      </c>
      <c r="N57" s="430">
        <f>M57+N47</f>
      </c>
      <c r="O57" s="430">
        <f>N57+O47</f>
      </c>
      <c r="P57" s="430">
        <f>O57+P47</f>
      </c>
      <c r="Q57" s="430">
        <f>P57+Q47</f>
      </c>
      <c r="R57" s="430">
        <f>Q57+R47</f>
      </c>
      <c r="S57" s="430">
        <f>R57+S47</f>
      </c>
      <c r="T57" s="430">
        <f>S57+T47</f>
      </c>
      <c r="U57" s="430">
        <f>T57+U47</f>
      </c>
      <c r="V57" s="430">
        <f>U57+V47</f>
      </c>
      <c r="W57" s="430">
        <f>V57+W47</f>
      </c>
      <c r="X57" s="430">
        <f>W57+X47</f>
      </c>
      <c r="Y57" s="430">
        <f>X57+Y47</f>
      </c>
      <c r="Z57" s="430">
        <f>Y57+Z47</f>
      </c>
      <c r="AA57" s="430">
        <f>Z57+AA47</f>
      </c>
      <c r="AB57" s="430">
        <f>AA57+AB47</f>
      </c>
      <c r="AC57" s="430">
        <f>AB57+AC47</f>
      </c>
      <c r="AD57" s="430">
        <f>AC57+AD47</f>
      </c>
      <c r="AE57" s="430">
        <f>AD57+AE47</f>
      </c>
      <c r="AF57" s="430">
        <f>AE57+AF47</f>
      </c>
      <c r="AG57" s="430">
        <f>AF57+AG47</f>
      </c>
      <c r="AH57" s="430">
        <f>AG57+AH47</f>
      </c>
      <c r="AI57" s="430">
        <f>AH57+AI47</f>
      </c>
      <c r="AJ57" s="430">
        <f>AI57+AJ47</f>
      </c>
      <c r="AK57" s="430">
        <f>AJ57+AK47</f>
      </c>
      <c r="AL57" s="430">
        <f>AK57+AL47</f>
      </c>
      <c r="AM57" s="430">
        <f>AL57+AM47</f>
      </c>
      <c r="AN57" s="430">
        <f>AM57+AN47</f>
      </c>
      <c r="AO57" s="430">
        <f>AN57+AO47</f>
      </c>
      <c r="AP57" s="430">
        <f>AO57+AP47</f>
      </c>
      <c r="AQ57" s="430">
        <f>AP57+AQ47</f>
      </c>
      <c r="AR57" s="430">
        <f>AQ57+AR47</f>
      </c>
      <c r="AS57" s="430">
        <f>AR57+AS47</f>
      </c>
      <c r="AT57" s="430">
        <f>AS57+AT47</f>
      </c>
      <c r="AU57" s="430">
        <f>AT57+AU47</f>
      </c>
      <c r="AV57" s="430">
        <f>AU57+AV47</f>
      </c>
      <c r="AW57" s="430">
        <f>AV57+AW47</f>
      </c>
      <c r="AX57" s="430">
        <f>AW57+AX47</f>
      </c>
      <c r="AY57" s="430">
        <f>AX57+AY47</f>
      </c>
      <c r="AZ57" s="430">
        <f>AY57+AZ47</f>
      </c>
      <c r="BA57" s="430">
        <f>AZ57+BA47</f>
      </c>
      <c r="BB57" s="430">
        <f>BA57+BB47</f>
      </c>
      <c r="BC57" s="3"/>
      <c r="BD57" s="3"/>
      <c r="BE57" s="3"/>
    </row>
    <row x14ac:dyDescent="0.25" r="58" customHeight="1" ht="19.5">
      <c r="A58" s="3"/>
      <c r="B58" s="195" t="s">
        <v>481</v>
      </c>
      <c r="C58" s="430">
        <f>C48</f>
      </c>
      <c r="D58" s="430">
        <f>C58+D48</f>
      </c>
      <c r="E58" s="430">
        <f>D58+E48</f>
      </c>
      <c r="F58" s="430">
        <f>E58+F48</f>
      </c>
      <c r="G58" s="430">
        <f>F58+G48</f>
      </c>
      <c r="H58" s="430">
        <f>G58+H48</f>
      </c>
      <c r="I58" s="430">
        <f>H58+I48</f>
      </c>
      <c r="J58" s="430">
        <f>I58+J48</f>
      </c>
      <c r="K58" s="430">
        <f>J58+K48</f>
      </c>
      <c r="L58" s="430">
        <f>K58+L48</f>
      </c>
      <c r="M58" s="430">
        <f>L58+M48</f>
      </c>
      <c r="N58" s="430">
        <f>M58+N48</f>
      </c>
      <c r="O58" s="430">
        <f>N58+O48</f>
      </c>
      <c r="P58" s="430">
        <f>O58+P48</f>
      </c>
      <c r="Q58" s="430">
        <f>P58+Q48</f>
      </c>
      <c r="R58" s="430">
        <f>Q58+R48</f>
      </c>
      <c r="S58" s="430">
        <f>R58+S48</f>
      </c>
      <c r="T58" s="430">
        <f>S58+T48</f>
      </c>
      <c r="U58" s="430">
        <f>T58+U48</f>
      </c>
      <c r="V58" s="430">
        <f>U58+V48</f>
      </c>
      <c r="W58" s="430">
        <f>V58+W48</f>
      </c>
      <c r="X58" s="430">
        <f>W58+X48</f>
      </c>
      <c r="Y58" s="430">
        <f>X58+Y48</f>
      </c>
      <c r="Z58" s="430">
        <f>Y58+Z48</f>
      </c>
      <c r="AA58" s="430">
        <f>Z58+AA48</f>
      </c>
      <c r="AB58" s="430">
        <f>AA58+AB48</f>
      </c>
      <c r="AC58" s="430">
        <f>AB58+AC48</f>
      </c>
      <c r="AD58" s="430">
        <f>AC58+AD48</f>
      </c>
      <c r="AE58" s="430">
        <f>AD58+AE48</f>
      </c>
      <c r="AF58" s="430">
        <f>AE58+AF48</f>
      </c>
      <c r="AG58" s="430">
        <f>AF58+AG48</f>
      </c>
      <c r="AH58" s="430">
        <f>AG58+AH48</f>
      </c>
      <c r="AI58" s="430">
        <f>AH58+AI48</f>
      </c>
      <c r="AJ58" s="430">
        <f>AI58+AJ48</f>
      </c>
      <c r="AK58" s="430">
        <f>AJ58+AK48</f>
      </c>
      <c r="AL58" s="430">
        <f>AK58+AL48</f>
      </c>
      <c r="AM58" s="430">
        <f>AL58+AM48</f>
      </c>
      <c r="AN58" s="430">
        <f>AM58+AN48</f>
      </c>
      <c r="AO58" s="430">
        <f>AN58+AO48</f>
      </c>
      <c r="AP58" s="430">
        <f>AO58+AP48</f>
      </c>
      <c r="AQ58" s="430">
        <f>AP58+AQ48</f>
      </c>
      <c r="AR58" s="430">
        <f>AQ58+AR48</f>
      </c>
      <c r="AS58" s="430">
        <f>AR58+AS48</f>
      </c>
      <c r="AT58" s="430">
        <f>AS58+AT48</f>
      </c>
      <c r="AU58" s="430">
        <f>AT58+AU48</f>
      </c>
      <c r="AV58" s="430">
        <f>AU58+AV48</f>
      </c>
      <c r="AW58" s="430">
        <f>AV58+AW48</f>
      </c>
      <c r="AX58" s="430">
        <f>AW58+AX48</f>
      </c>
      <c r="AY58" s="430">
        <f>AX58+AY48</f>
      </c>
      <c r="AZ58" s="430">
        <f>AY58+AZ48</f>
      </c>
      <c r="BA58" s="430">
        <f>AZ58+BA48</f>
      </c>
      <c r="BB58" s="430">
        <f>BA58+BB48</f>
      </c>
      <c r="BC58" s="3"/>
      <c r="BD58" s="3"/>
      <c r="BE58" s="3"/>
    </row>
    <row x14ac:dyDescent="0.25" r="59" customHeight="1" ht="19.5">
      <c r="A59" s="3"/>
      <c r="B59" s="195" t="s">
        <v>482</v>
      </c>
      <c r="C59" s="430">
        <f>C49</f>
      </c>
      <c r="D59" s="430">
        <f>C59+D49</f>
      </c>
      <c r="E59" s="430">
        <f>D59+E49</f>
      </c>
      <c r="F59" s="430">
        <f>E59+F49</f>
      </c>
      <c r="G59" s="430">
        <f>F59+G49</f>
      </c>
      <c r="H59" s="430">
        <f>G59+H49</f>
      </c>
      <c r="I59" s="430">
        <f>H59+I49</f>
      </c>
      <c r="J59" s="430">
        <f>I59+J49</f>
      </c>
      <c r="K59" s="430">
        <f>J59+K49</f>
      </c>
      <c r="L59" s="430">
        <f>K59+L49</f>
      </c>
      <c r="M59" s="430">
        <f>L59+M49</f>
      </c>
      <c r="N59" s="430">
        <f>M59+N49</f>
      </c>
      <c r="O59" s="430">
        <f>N59+O49</f>
      </c>
      <c r="P59" s="430">
        <f>O59+P49</f>
      </c>
      <c r="Q59" s="430">
        <f>P59+Q49</f>
      </c>
      <c r="R59" s="430">
        <f>Q59+R49</f>
      </c>
      <c r="S59" s="430">
        <f>R59+S49</f>
      </c>
      <c r="T59" s="430">
        <f>S59+T49</f>
      </c>
      <c r="U59" s="430">
        <f>T59+U49</f>
      </c>
      <c r="V59" s="430">
        <f>U59+V49</f>
      </c>
      <c r="W59" s="430">
        <f>V59+W49</f>
      </c>
      <c r="X59" s="430">
        <f>W59+X49</f>
      </c>
      <c r="Y59" s="430">
        <f>X59+Y49</f>
      </c>
      <c r="Z59" s="430">
        <f>Y59+Z49</f>
      </c>
      <c r="AA59" s="430">
        <f>Z59+AA49</f>
      </c>
      <c r="AB59" s="430">
        <f>AA59+AB49</f>
      </c>
      <c r="AC59" s="430">
        <f>AB59+AC49</f>
      </c>
      <c r="AD59" s="430">
        <f>AC59+AD49</f>
      </c>
      <c r="AE59" s="430">
        <f>AD59+AE49</f>
      </c>
      <c r="AF59" s="430">
        <f>AE59+AF49</f>
      </c>
      <c r="AG59" s="430">
        <f>AF59+AG49</f>
      </c>
      <c r="AH59" s="430">
        <f>AG59+AH49</f>
      </c>
      <c r="AI59" s="430">
        <f>AH59+AI49</f>
      </c>
      <c r="AJ59" s="430">
        <f>AI59+AJ49</f>
      </c>
      <c r="AK59" s="430">
        <f>AJ59+AK49</f>
      </c>
      <c r="AL59" s="430">
        <f>AK59+AL49</f>
      </c>
      <c r="AM59" s="430">
        <f>AL59+AM49</f>
      </c>
      <c r="AN59" s="430">
        <f>AM59+AN49</f>
      </c>
      <c r="AO59" s="430">
        <f>AN59+AO49</f>
      </c>
      <c r="AP59" s="430">
        <f>AO59+AP49</f>
      </c>
      <c r="AQ59" s="430">
        <f>AP59+AQ49</f>
      </c>
      <c r="AR59" s="430">
        <f>AQ59+AR49</f>
      </c>
      <c r="AS59" s="430">
        <f>AR59+AS49</f>
      </c>
      <c r="AT59" s="430">
        <f>AS59+AT49</f>
      </c>
      <c r="AU59" s="430">
        <f>AT59+AU49</f>
      </c>
      <c r="AV59" s="430">
        <f>AU59+AV49</f>
      </c>
      <c r="AW59" s="430">
        <f>AV59+AW49</f>
      </c>
      <c r="AX59" s="430">
        <f>AW59+AX49</f>
      </c>
      <c r="AY59" s="430">
        <f>AX59+AY49</f>
      </c>
      <c r="AZ59" s="430">
        <f>AY59+AZ49</f>
      </c>
      <c r="BA59" s="430">
        <f>AZ59+BA49</f>
      </c>
      <c r="BB59" s="430">
        <f>BA59+BB49</f>
      </c>
      <c r="BC59" s="3"/>
      <c r="BD59" s="3"/>
      <c r="BE59" s="3"/>
    </row>
    <row x14ac:dyDescent="0.25" r="60" customHeight="1" ht="19.5">
      <c r="A60" s="3"/>
      <c r="B60" s="195" t="s">
        <v>483</v>
      </c>
      <c r="C60" s="430">
        <f>C50</f>
      </c>
      <c r="D60" s="430">
        <f>C60+D50</f>
      </c>
      <c r="E60" s="430">
        <f>D60+E50</f>
      </c>
      <c r="F60" s="430">
        <f>E60+F50</f>
      </c>
      <c r="G60" s="430">
        <f>F60+G50</f>
      </c>
      <c r="H60" s="430">
        <f>G60+H50</f>
      </c>
      <c r="I60" s="430">
        <f>H60+I50</f>
      </c>
      <c r="J60" s="430">
        <f>I60+J50</f>
      </c>
      <c r="K60" s="430">
        <f>J60+K50</f>
      </c>
      <c r="L60" s="430">
        <f>K60+L50</f>
      </c>
      <c r="M60" s="430">
        <f>L60+M50</f>
      </c>
      <c r="N60" s="430">
        <f>M60+N50</f>
      </c>
      <c r="O60" s="430">
        <f>N60+O50</f>
      </c>
      <c r="P60" s="430">
        <f>O60+P50</f>
      </c>
      <c r="Q60" s="430">
        <f>P60+Q50</f>
      </c>
      <c r="R60" s="430">
        <f>Q60+R50</f>
      </c>
      <c r="S60" s="430">
        <f>R60+S50</f>
      </c>
      <c r="T60" s="430">
        <f>S60+T50</f>
      </c>
      <c r="U60" s="430">
        <f>T60+U50</f>
      </c>
      <c r="V60" s="430">
        <f>U60+V50</f>
      </c>
      <c r="W60" s="430">
        <f>V60+W50</f>
      </c>
      <c r="X60" s="430">
        <f>W60+X50</f>
      </c>
      <c r="Y60" s="430">
        <f>X60+Y50</f>
      </c>
      <c r="Z60" s="430">
        <f>Y60+Z50</f>
      </c>
      <c r="AA60" s="430">
        <f>Z60+AA50</f>
      </c>
      <c r="AB60" s="430">
        <f>AA60+AB50</f>
      </c>
      <c r="AC60" s="430">
        <f>AB60+AC50</f>
      </c>
      <c r="AD60" s="430">
        <f>AC60+AD50</f>
      </c>
      <c r="AE60" s="430">
        <f>AD60+AE50</f>
      </c>
      <c r="AF60" s="430">
        <f>AE60+AF50</f>
      </c>
      <c r="AG60" s="430">
        <f>AF60+AG50</f>
      </c>
      <c r="AH60" s="430">
        <f>AG60+AH50</f>
      </c>
      <c r="AI60" s="430">
        <f>AH60+AI50</f>
      </c>
      <c r="AJ60" s="430">
        <f>AI60+AJ50</f>
      </c>
      <c r="AK60" s="430">
        <f>AJ60+AK50</f>
      </c>
      <c r="AL60" s="430">
        <f>AK60+AL50</f>
      </c>
      <c r="AM60" s="430">
        <f>AL60+AM50</f>
      </c>
      <c r="AN60" s="430">
        <f>AM60+AN50</f>
      </c>
      <c r="AO60" s="430">
        <f>AN60+AO50</f>
      </c>
      <c r="AP60" s="430">
        <f>AO60+AP50</f>
      </c>
      <c r="AQ60" s="430">
        <f>AP60+AQ50</f>
      </c>
      <c r="AR60" s="430">
        <f>AQ60+AR50</f>
      </c>
      <c r="AS60" s="430">
        <f>AR60+AS50</f>
      </c>
      <c r="AT60" s="430">
        <f>AS60+AT50</f>
      </c>
      <c r="AU60" s="430">
        <f>AT60+AU50</f>
      </c>
      <c r="AV60" s="430">
        <f>AU60+AV50</f>
      </c>
      <c r="AW60" s="430">
        <f>AV60+AW50</f>
      </c>
      <c r="AX60" s="430">
        <f>AW60+AX50</f>
      </c>
      <c r="AY60" s="430">
        <f>AX60+AY50</f>
      </c>
      <c r="AZ60" s="430">
        <f>AY60+AZ50</f>
      </c>
      <c r="BA60" s="430">
        <f>AZ60+BA50</f>
      </c>
      <c r="BB60" s="430">
        <f>BA60+BB50</f>
      </c>
      <c r="BC60" s="3"/>
      <c r="BD60" s="3"/>
      <c r="BE60" s="3"/>
    </row>
    <row x14ac:dyDescent="0.25" r="61" customHeight="1" ht="19.5">
      <c r="A61" s="3"/>
      <c r="B61" s="195" t="s">
        <v>484</v>
      </c>
      <c r="C61" s="430">
        <f>C51</f>
      </c>
      <c r="D61" s="430">
        <f>C61+D51</f>
      </c>
      <c r="E61" s="430">
        <f>D61+E51</f>
      </c>
      <c r="F61" s="430">
        <f>E61+F51</f>
      </c>
      <c r="G61" s="430">
        <f>F61+G51</f>
      </c>
      <c r="H61" s="430">
        <f>G61+H51</f>
      </c>
      <c r="I61" s="430">
        <f>H61+I51</f>
      </c>
      <c r="J61" s="430">
        <f>I61+J51</f>
      </c>
      <c r="K61" s="430">
        <f>J61+K51</f>
      </c>
      <c r="L61" s="430">
        <f>K61+L51</f>
      </c>
      <c r="M61" s="430">
        <f>L61+M51</f>
      </c>
      <c r="N61" s="430">
        <f>M61+N51</f>
      </c>
      <c r="O61" s="430">
        <f>N61+O51</f>
      </c>
      <c r="P61" s="430">
        <f>O61+P51</f>
      </c>
      <c r="Q61" s="430">
        <f>P61+Q51</f>
      </c>
      <c r="R61" s="430">
        <f>Q61+R51</f>
      </c>
      <c r="S61" s="430">
        <f>R61+S51</f>
      </c>
      <c r="T61" s="430">
        <f>S61+T51</f>
      </c>
      <c r="U61" s="430">
        <f>T61+U51</f>
      </c>
      <c r="V61" s="430">
        <f>U61+V51</f>
      </c>
      <c r="W61" s="430">
        <f>V61+W51</f>
      </c>
      <c r="X61" s="430">
        <f>W61+X51</f>
      </c>
      <c r="Y61" s="430">
        <f>X61+Y51</f>
      </c>
      <c r="Z61" s="430">
        <f>Y61+Z51</f>
      </c>
      <c r="AA61" s="430">
        <f>Z61+AA51</f>
      </c>
      <c r="AB61" s="430">
        <f>AA61+AB51</f>
      </c>
      <c r="AC61" s="430">
        <f>AB61+AC51</f>
      </c>
      <c r="AD61" s="430">
        <f>AC61+AD51</f>
      </c>
      <c r="AE61" s="430">
        <f>AD61+AE51</f>
      </c>
      <c r="AF61" s="430">
        <f>AE61+AF51</f>
      </c>
      <c r="AG61" s="430">
        <f>AF61+AG51</f>
      </c>
      <c r="AH61" s="430">
        <f>AG61+AH51</f>
      </c>
      <c r="AI61" s="430">
        <f>AH61+AI51</f>
      </c>
      <c r="AJ61" s="430">
        <f>AI61+AJ51</f>
      </c>
      <c r="AK61" s="430">
        <f>AJ61+AK51</f>
      </c>
      <c r="AL61" s="430">
        <f>AK61+AL51</f>
      </c>
      <c r="AM61" s="430">
        <f>AL61+AM51</f>
      </c>
      <c r="AN61" s="430">
        <f>AM61+AN51</f>
      </c>
      <c r="AO61" s="430">
        <f>AN61+AO51</f>
      </c>
      <c r="AP61" s="430">
        <f>AO61+AP51</f>
      </c>
      <c r="AQ61" s="430">
        <f>AP61+AQ51</f>
      </c>
      <c r="AR61" s="430">
        <f>AQ61+AR51</f>
      </c>
      <c r="AS61" s="430">
        <f>AR61+AS51</f>
      </c>
      <c r="AT61" s="430">
        <f>AS61+AT51</f>
      </c>
      <c r="AU61" s="430">
        <f>AT61+AU51</f>
      </c>
      <c r="AV61" s="430">
        <f>AU61+AV51</f>
      </c>
      <c r="AW61" s="430">
        <f>AV61+AW51</f>
      </c>
      <c r="AX61" s="430">
        <f>AW61+AX51</f>
      </c>
      <c r="AY61" s="430">
        <f>AX61+AY51</f>
      </c>
      <c r="AZ61" s="430">
        <f>AY61+AZ51</f>
      </c>
      <c r="BA61" s="430">
        <f>AZ61+BA51</f>
      </c>
      <c r="BB61" s="430">
        <f>BA61+BB51</f>
      </c>
      <c r="BC61" s="3"/>
      <c r="BD61" s="3"/>
      <c r="BE61" s="3"/>
    </row>
    <row x14ac:dyDescent="0.25" r="62" customHeight="1" ht="19.5">
      <c r="A62" s="3"/>
      <c r="B62" s="195" t="s">
        <v>485</v>
      </c>
      <c r="C62" s="430">
        <f>C52</f>
      </c>
      <c r="D62" s="430">
        <f>C62+D52</f>
      </c>
      <c r="E62" s="430">
        <f>D62+E52</f>
      </c>
      <c r="F62" s="430">
        <f>E62+F52</f>
      </c>
      <c r="G62" s="430">
        <f>F62+G52</f>
      </c>
      <c r="H62" s="430">
        <f>G62+H52</f>
      </c>
      <c r="I62" s="430">
        <f>H62+I52</f>
      </c>
      <c r="J62" s="430">
        <f>I62+J52</f>
      </c>
      <c r="K62" s="430">
        <f>J62+K52</f>
      </c>
      <c r="L62" s="430">
        <f>K62+L52</f>
      </c>
      <c r="M62" s="430">
        <f>L62+M52</f>
      </c>
      <c r="N62" s="430">
        <f>M62+N52</f>
      </c>
      <c r="O62" s="430">
        <f>N62+O52</f>
      </c>
      <c r="P62" s="430">
        <f>O62+P52</f>
      </c>
      <c r="Q62" s="430">
        <f>P62+Q52</f>
      </c>
      <c r="R62" s="430">
        <f>Q62+R52</f>
      </c>
      <c r="S62" s="430">
        <f>R62+S52</f>
      </c>
      <c r="T62" s="430">
        <f>S62+T52</f>
      </c>
      <c r="U62" s="430">
        <f>T62+U52</f>
      </c>
      <c r="V62" s="430">
        <f>U62+V52</f>
      </c>
      <c r="W62" s="430">
        <f>V62+W52</f>
      </c>
      <c r="X62" s="430">
        <f>W62+X52</f>
      </c>
      <c r="Y62" s="430">
        <f>X62+Y52</f>
      </c>
      <c r="Z62" s="430">
        <f>Y62+Z52</f>
      </c>
      <c r="AA62" s="430">
        <f>Z62+AA52</f>
      </c>
      <c r="AB62" s="430">
        <f>AA62+AB52</f>
      </c>
      <c r="AC62" s="430">
        <f>AB62+AC52</f>
      </c>
      <c r="AD62" s="430">
        <f>AC62+AD52</f>
      </c>
      <c r="AE62" s="430">
        <f>AD62+AE52</f>
      </c>
      <c r="AF62" s="430">
        <f>AE62+AF52</f>
      </c>
      <c r="AG62" s="430">
        <f>AF62+AG52</f>
      </c>
      <c r="AH62" s="430">
        <f>AG62+AH52</f>
      </c>
      <c r="AI62" s="430">
        <f>AH62+AI52</f>
      </c>
      <c r="AJ62" s="430">
        <f>AI62+AJ52</f>
      </c>
      <c r="AK62" s="430">
        <f>AJ62+AK52</f>
      </c>
      <c r="AL62" s="430">
        <f>AK62+AL52</f>
      </c>
      <c r="AM62" s="430">
        <f>AL62+AM52</f>
      </c>
      <c r="AN62" s="430">
        <f>AM62+AN52</f>
      </c>
      <c r="AO62" s="430">
        <f>AN62+AO52</f>
      </c>
      <c r="AP62" s="430">
        <f>AO62+AP52</f>
      </c>
      <c r="AQ62" s="430">
        <f>AP62+AQ52</f>
      </c>
      <c r="AR62" s="430">
        <f>AQ62+AR52</f>
      </c>
      <c r="AS62" s="430">
        <f>AR62+AS52</f>
      </c>
      <c r="AT62" s="430">
        <f>AS62+AT52</f>
      </c>
      <c r="AU62" s="430">
        <f>AT62+AU52</f>
      </c>
      <c r="AV62" s="430">
        <f>AU62+AV52</f>
      </c>
      <c r="AW62" s="430">
        <f>AV62+AW52</f>
      </c>
      <c r="AX62" s="430">
        <f>AW62+AX52</f>
      </c>
      <c r="AY62" s="430">
        <f>AX62+AY52</f>
      </c>
      <c r="AZ62" s="430">
        <f>AY62+AZ52</f>
      </c>
      <c r="BA62" s="430">
        <f>AZ62+BA52</f>
      </c>
      <c r="BB62" s="430">
        <f>BA62+BB52</f>
      </c>
      <c r="BC62" s="3"/>
      <c r="BD62" s="3"/>
      <c r="BE62" s="3"/>
    </row>
    <row x14ac:dyDescent="0.25" r="63" customHeight="1" ht="19.5">
      <c r="A63" s="3"/>
      <c r="B63" s="195" t="s">
        <v>486</v>
      </c>
      <c r="C63" s="430">
        <f>C53</f>
      </c>
      <c r="D63" s="430">
        <f>C63+D53</f>
      </c>
      <c r="E63" s="430">
        <f>D63+E53</f>
      </c>
      <c r="F63" s="430">
        <f>E63+F53</f>
      </c>
      <c r="G63" s="430">
        <f>F63+G53</f>
      </c>
      <c r="H63" s="430">
        <f>G63+H53</f>
      </c>
      <c r="I63" s="430">
        <f>H63+I53</f>
      </c>
      <c r="J63" s="430">
        <f>I63+J53</f>
      </c>
      <c r="K63" s="430">
        <f>J63+K53</f>
      </c>
      <c r="L63" s="430">
        <f>K63+L53</f>
      </c>
      <c r="M63" s="430">
        <f>L63+M53</f>
      </c>
      <c r="N63" s="430">
        <f>M63+N53</f>
      </c>
      <c r="O63" s="430">
        <f>N63+O53</f>
      </c>
      <c r="P63" s="430">
        <f>O63+P53</f>
      </c>
      <c r="Q63" s="430">
        <f>P63+Q53</f>
      </c>
      <c r="R63" s="430">
        <f>Q63+R53</f>
      </c>
      <c r="S63" s="430">
        <f>R63+S53</f>
      </c>
      <c r="T63" s="430">
        <f>S63+T53</f>
      </c>
      <c r="U63" s="430">
        <f>T63+U53</f>
      </c>
      <c r="V63" s="430">
        <f>U63+V53</f>
      </c>
      <c r="W63" s="430">
        <f>V63+W53</f>
      </c>
      <c r="X63" s="430">
        <f>W63+X53</f>
      </c>
      <c r="Y63" s="430">
        <f>X63+Y53</f>
      </c>
      <c r="Z63" s="430">
        <f>Y63+Z53</f>
      </c>
      <c r="AA63" s="430">
        <f>Z63+AA53</f>
      </c>
      <c r="AB63" s="430">
        <f>AA63+AB53</f>
      </c>
      <c r="AC63" s="430">
        <f>AB63+AC53</f>
      </c>
      <c r="AD63" s="430">
        <f>AC63+AD53</f>
      </c>
      <c r="AE63" s="430">
        <f>AD63+AE53</f>
      </c>
      <c r="AF63" s="430">
        <f>AE63+AF53</f>
      </c>
      <c r="AG63" s="430">
        <f>AF63+AG53</f>
      </c>
      <c r="AH63" s="430">
        <f>AG63+AH53</f>
      </c>
      <c r="AI63" s="430">
        <f>AH63+AI53</f>
      </c>
      <c r="AJ63" s="430">
        <f>AI63+AJ53</f>
      </c>
      <c r="AK63" s="430">
        <f>AJ63+AK53</f>
      </c>
      <c r="AL63" s="430">
        <f>AK63+AL53</f>
      </c>
      <c r="AM63" s="430">
        <f>AL63+AM53</f>
      </c>
      <c r="AN63" s="430">
        <f>AM63+AN53</f>
      </c>
      <c r="AO63" s="430">
        <f>AN63+AO53</f>
      </c>
      <c r="AP63" s="430">
        <f>AO63+AP53</f>
      </c>
      <c r="AQ63" s="430">
        <f>AP63+AQ53</f>
      </c>
      <c r="AR63" s="430">
        <f>AQ63+AR53</f>
      </c>
      <c r="AS63" s="430">
        <f>AR63+AS53</f>
      </c>
      <c r="AT63" s="430">
        <f>AS63+AT53</f>
      </c>
      <c r="AU63" s="430">
        <f>AT63+AU53</f>
      </c>
      <c r="AV63" s="430">
        <f>AU63+AV53</f>
      </c>
      <c r="AW63" s="430">
        <f>AV63+AW53</f>
      </c>
      <c r="AX63" s="430">
        <f>AW63+AX53</f>
      </c>
      <c r="AY63" s="430">
        <f>AX63+AY53</f>
      </c>
      <c r="AZ63" s="430">
        <f>AY63+AZ53</f>
      </c>
      <c r="BA63" s="430">
        <f>AZ63+BA53</f>
      </c>
      <c r="BB63" s="430">
        <f>BA63+BB53</f>
      </c>
      <c r="BC63" s="3"/>
      <c r="BD63" s="3"/>
      <c r="BE63" s="3"/>
    </row>
    <row x14ac:dyDescent="0.25" r="64" customHeight="1" ht="19.5">
      <c r="A64" s="3"/>
      <c r="B64" s="195" t="s">
        <v>487</v>
      </c>
      <c r="C64" s="430">
        <f>C54</f>
      </c>
      <c r="D64" s="430">
        <f>C64+D54</f>
      </c>
      <c r="E64" s="430">
        <f>D64+E54</f>
      </c>
      <c r="F64" s="430">
        <f>E64+F54</f>
      </c>
      <c r="G64" s="430">
        <f>F64+G54</f>
      </c>
      <c r="H64" s="430">
        <f>G64+H54</f>
      </c>
      <c r="I64" s="430">
        <f>H64+I54</f>
      </c>
      <c r="J64" s="430">
        <f>I64+J54</f>
      </c>
      <c r="K64" s="430">
        <f>J64+K54</f>
      </c>
      <c r="L64" s="430">
        <f>K64+L54</f>
      </c>
      <c r="M64" s="430">
        <f>L64+M54</f>
      </c>
      <c r="N64" s="430">
        <f>M64+N54</f>
      </c>
      <c r="O64" s="430">
        <f>N64+O54</f>
      </c>
      <c r="P64" s="430">
        <f>O64+P54</f>
      </c>
      <c r="Q64" s="430">
        <f>P64+Q54</f>
      </c>
      <c r="R64" s="430">
        <f>Q64+R54</f>
      </c>
      <c r="S64" s="430">
        <f>R64+S54</f>
      </c>
      <c r="T64" s="430">
        <f>S64+T54</f>
      </c>
      <c r="U64" s="430">
        <f>T64+U54</f>
      </c>
      <c r="V64" s="430">
        <f>U64+V54</f>
      </c>
      <c r="W64" s="430">
        <f>V64+W54</f>
      </c>
      <c r="X64" s="430">
        <f>W64+X54</f>
      </c>
      <c r="Y64" s="430">
        <f>X64+Y54</f>
      </c>
      <c r="Z64" s="430">
        <f>Y64+Z54</f>
      </c>
      <c r="AA64" s="430">
        <f>Z64+AA54</f>
      </c>
      <c r="AB64" s="430">
        <f>AA64+AB54</f>
      </c>
      <c r="AC64" s="430">
        <f>AB64+AC54</f>
      </c>
      <c r="AD64" s="430">
        <f>AC64+AD54</f>
      </c>
      <c r="AE64" s="430">
        <f>AD64+AE54</f>
      </c>
      <c r="AF64" s="430">
        <f>AE64+AF54</f>
      </c>
      <c r="AG64" s="430">
        <f>AF64+AG54</f>
      </c>
      <c r="AH64" s="430">
        <f>AG64+AH54</f>
      </c>
      <c r="AI64" s="430">
        <f>AH64+AI54</f>
      </c>
      <c r="AJ64" s="430">
        <f>AI64+AJ54</f>
      </c>
      <c r="AK64" s="430">
        <f>AJ64+AK54</f>
      </c>
      <c r="AL64" s="430">
        <f>AK64+AL54</f>
      </c>
      <c r="AM64" s="430">
        <f>AL64+AM54</f>
      </c>
      <c r="AN64" s="430">
        <f>AM64+AN54</f>
      </c>
      <c r="AO64" s="430">
        <f>AN64+AO54</f>
      </c>
      <c r="AP64" s="430">
        <f>AO64+AP54</f>
      </c>
      <c r="AQ64" s="430">
        <f>AP64+AQ54</f>
      </c>
      <c r="AR64" s="430">
        <f>AQ64+AR54</f>
      </c>
      <c r="AS64" s="430">
        <f>AR64+AS54</f>
      </c>
      <c r="AT64" s="430">
        <f>AS64+AT54</f>
      </c>
      <c r="AU64" s="430">
        <f>AT64+AU54</f>
      </c>
      <c r="AV64" s="430">
        <f>AU64+AV54</f>
      </c>
      <c r="AW64" s="430">
        <f>AV64+AW54</f>
      </c>
      <c r="AX64" s="430">
        <f>AW64+AX54</f>
      </c>
      <c r="AY64" s="430">
        <f>AX64+AY54</f>
      </c>
      <c r="AZ64" s="430">
        <f>AY64+AZ54</f>
      </c>
      <c r="BA64" s="430">
        <f>AZ64+BA54</f>
      </c>
      <c r="BB64" s="430">
        <f>BA64+BB54</f>
      </c>
      <c r="BC64" s="3"/>
      <c r="BD64" s="3"/>
      <c r="BE64" s="3"/>
    </row>
    <row x14ac:dyDescent="0.25" r="65" customHeight="1" ht="19.5">
      <c r="A65" s="3"/>
      <c r="B65" s="195" t="s">
        <v>488</v>
      </c>
      <c r="C65" s="430">
        <f>C55</f>
      </c>
      <c r="D65" s="430">
        <f>C65+D55</f>
      </c>
      <c r="E65" s="430">
        <f>D65+E55</f>
      </c>
      <c r="F65" s="430">
        <f>E65+F55</f>
      </c>
      <c r="G65" s="430">
        <f>F65+G55</f>
      </c>
      <c r="H65" s="430">
        <f>G65+H55</f>
      </c>
      <c r="I65" s="430">
        <f>H65+I55</f>
      </c>
      <c r="J65" s="430">
        <f>I65+J55</f>
      </c>
      <c r="K65" s="430">
        <f>J65+K55</f>
      </c>
      <c r="L65" s="430">
        <f>K65+L55</f>
      </c>
      <c r="M65" s="430">
        <f>L65+M55</f>
      </c>
      <c r="N65" s="430">
        <f>M65+N55</f>
      </c>
      <c r="O65" s="430">
        <f>N65+O55</f>
      </c>
      <c r="P65" s="430">
        <f>O65+P55</f>
      </c>
      <c r="Q65" s="430">
        <f>P65+Q55</f>
      </c>
      <c r="R65" s="430">
        <f>Q65+R55</f>
      </c>
      <c r="S65" s="430">
        <f>R65+S55</f>
      </c>
      <c r="T65" s="430">
        <f>S65+T55</f>
      </c>
      <c r="U65" s="430">
        <f>T65+U55</f>
      </c>
      <c r="V65" s="430">
        <f>U65+V55</f>
      </c>
      <c r="W65" s="430">
        <f>V65+W55</f>
      </c>
      <c r="X65" s="430">
        <f>W65+X55</f>
      </c>
      <c r="Y65" s="430">
        <f>X65+Y55</f>
      </c>
      <c r="Z65" s="430">
        <f>Y65+Z55</f>
      </c>
      <c r="AA65" s="430">
        <f>Z65+AA55</f>
      </c>
      <c r="AB65" s="430">
        <f>AA65+AB55</f>
      </c>
      <c r="AC65" s="430">
        <f>AB65+AC55</f>
      </c>
      <c r="AD65" s="430">
        <f>AC65+AD55</f>
      </c>
      <c r="AE65" s="430">
        <f>AD65+AE55</f>
      </c>
      <c r="AF65" s="430">
        <f>AE65+AF55</f>
      </c>
      <c r="AG65" s="430">
        <f>AF65+AG55</f>
      </c>
      <c r="AH65" s="430">
        <f>AG65+AH55</f>
      </c>
      <c r="AI65" s="430">
        <f>AH65+AI55</f>
      </c>
      <c r="AJ65" s="430">
        <f>AI65+AJ55</f>
      </c>
      <c r="AK65" s="430">
        <f>AJ65+AK55</f>
      </c>
      <c r="AL65" s="430">
        <f>AK65+AL55</f>
      </c>
      <c r="AM65" s="430">
        <f>AL65+AM55</f>
      </c>
      <c r="AN65" s="430">
        <f>AM65+AN55</f>
      </c>
      <c r="AO65" s="430">
        <f>AN65+AO55</f>
      </c>
      <c r="AP65" s="430">
        <f>AO65+AP55</f>
      </c>
      <c r="AQ65" s="430">
        <f>AP65+AQ55</f>
      </c>
      <c r="AR65" s="430">
        <f>AQ65+AR55</f>
      </c>
      <c r="AS65" s="430">
        <f>AR65+AS55</f>
      </c>
      <c r="AT65" s="430">
        <f>AS65+AT55</f>
      </c>
      <c r="AU65" s="430">
        <f>AT65+AU55</f>
      </c>
      <c r="AV65" s="430">
        <f>AU65+AV55</f>
      </c>
      <c r="AW65" s="430">
        <f>AV65+AW55</f>
      </c>
      <c r="AX65" s="430">
        <f>AW65+AX55</f>
      </c>
      <c r="AY65" s="430">
        <f>AX65+AY55</f>
      </c>
      <c r="AZ65" s="430">
        <f>AY65+AZ55</f>
      </c>
      <c r="BA65" s="430">
        <f>AZ65+BA55</f>
      </c>
      <c r="BB65" s="430">
        <f>BA65+BB55</f>
      </c>
      <c r="BC65" s="3"/>
      <c r="BD65" s="3"/>
      <c r="BE65" s="3"/>
    </row>
    <row x14ac:dyDescent="0.25" r="66" customHeight="1" ht="19.5">
      <c r="A66" s="3"/>
      <c r="B66" s="195" t="s">
        <v>489</v>
      </c>
      <c r="C66" s="430">
        <f>C56</f>
      </c>
      <c r="D66" s="430">
        <f>C66+D56</f>
      </c>
      <c r="E66" s="430">
        <f>D66+E56</f>
      </c>
      <c r="F66" s="430">
        <f>E66+F56</f>
      </c>
      <c r="G66" s="430">
        <f>F66+G56</f>
      </c>
      <c r="H66" s="430">
        <f>G66+H56</f>
      </c>
      <c r="I66" s="430">
        <f>H66+I56</f>
      </c>
      <c r="J66" s="430">
        <f>I66+J56</f>
      </c>
      <c r="K66" s="430">
        <f>J66+K56</f>
      </c>
      <c r="L66" s="430">
        <f>K66+L56</f>
      </c>
      <c r="M66" s="430">
        <f>L66+M56</f>
      </c>
      <c r="N66" s="430">
        <f>M66+N56</f>
      </c>
      <c r="O66" s="430">
        <f>N66+O56</f>
      </c>
      <c r="P66" s="430">
        <f>O66+P56</f>
      </c>
      <c r="Q66" s="430">
        <f>P66+Q56</f>
      </c>
      <c r="R66" s="430">
        <f>Q66+R56</f>
      </c>
      <c r="S66" s="430">
        <f>R66+S56</f>
      </c>
      <c r="T66" s="430">
        <f>S66+T56</f>
      </c>
      <c r="U66" s="430">
        <f>T66+U56</f>
      </c>
      <c r="V66" s="430">
        <f>U66+V56</f>
      </c>
      <c r="W66" s="430">
        <f>V66+W56</f>
      </c>
      <c r="X66" s="430">
        <f>W66+X56</f>
      </c>
      <c r="Y66" s="430">
        <f>X66+Y56</f>
      </c>
      <c r="Z66" s="430">
        <f>Y66+Z56</f>
      </c>
      <c r="AA66" s="430">
        <f>Z66+AA56</f>
      </c>
      <c r="AB66" s="430">
        <f>AA66+AB56</f>
      </c>
      <c r="AC66" s="430">
        <f>AB66+AC56</f>
      </c>
      <c r="AD66" s="430">
        <f>AC66+AD56</f>
      </c>
      <c r="AE66" s="430">
        <f>AD66+AE56</f>
      </c>
      <c r="AF66" s="430">
        <f>AE66+AF56</f>
      </c>
      <c r="AG66" s="430">
        <f>AF66+AG56</f>
      </c>
      <c r="AH66" s="430">
        <f>AG66+AH56</f>
      </c>
      <c r="AI66" s="430">
        <f>AH66+AI56</f>
      </c>
      <c r="AJ66" s="430">
        <f>AI66+AJ56</f>
      </c>
      <c r="AK66" s="430">
        <f>AJ66+AK56</f>
      </c>
      <c r="AL66" s="430">
        <f>AK66+AL56</f>
      </c>
      <c r="AM66" s="430">
        <f>AL66+AM56</f>
      </c>
      <c r="AN66" s="430">
        <f>AM66+AN56</f>
      </c>
      <c r="AO66" s="430">
        <f>AN66+AO56</f>
      </c>
      <c r="AP66" s="430">
        <f>AO66+AP56</f>
      </c>
      <c r="AQ66" s="430">
        <f>AP66+AQ56</f>
      </c>
      <c r="AR66" s="430">
        <f>AQ66+AR56</f>
      </c>
      <c r="AS66" s="430">
        <f>AR66+AS56</f>
      </c>
      <c r="AT66" s="430">
        <f>AS66+AT56</f>
      </c>
      <c r="AU66" s="430">
        <f>AT66+AU56</f>
      </c>
      <c r="AV66" s="430">
        <f>AU66+AV56</f>
      </c>
      <c r="AW66" s="430">
        <f>AV66+AW56</f>
      </c>
      <c r="AX66" s="430">
        <f>AW66+AX56</f>
      </c>
      <c r="AY66" s="430">
        <f>AX66+AY56</f>
      </c>
      <c r="AZ66" s="430">
        <f>AY66+AZ56</f>
      </c>
      <c r="BA66" s="430">
        <f>AZ66+BA56</f>
      </c>
      <c r="BB66" s="430">
        <f>BA66+BB56</f>
      </c>
      <c r="BC66" s="3"/>
      <c r="BD66" s="3"/>
      <c r="BE66" s="3"/>
    </row>
    <row x14ac:dyDescent="0.25" r="67" customHeight="1" ht="19.5">
      <c r="A67" s="3"/>
      <c r="B67" s="517"/>
      <c r="C67" s="518"/>
      <c r="D67" s="433"/>
      <c r="E67" s="433"/>
      <c r="F67" s="433"/>
      <c r="G67" s="518"/>
      <c r="H67" s="518"/>
      <c r="I67" s="433"/>
      <c r="J67" s="433"/>
      <c r="K67" s="433"/>
      <c r="L67" s="518"/>
      <c r="M67" s="518"/>
      <c r="N67" s="518"/>
      <c r="O67" s="518"/>
      <c r="P67" s="518"/>
      <c r="Q67" s="518"/>
      <c r="R67" s="518"/>
      <c r="S67" s="518"/>
      <c r="T67" s="518"/>
      <c r="U67" s="518"/>
      <c r="V67" s="518"/>
      <c r="W67" s="518"/>
      <c r="X67" s="518"/>
      <c r="Y67" s="518"/>
      <c r="Z67" s="518"/>
      <c r="AA67" s="518"/>
      <c r="AB67" s="518"/>
      <c r="AC67" s="518"/>
      <c r="AD67" s="518"/>
      <c r="AE67" s="518"/>
      <c r="AF67" s="518"/>
      <c r="AG67" s="518"/>
      <c r="AH67" s="518"/>
      <c r="AI67" s="518"/>
      <c r="AJ67" s="518"/>
      <c r="AK67" s="518"/>
      <c r="AL67" s="518"/>
      <c r="AM67" s="518"/>
      <c r="AN67" s="518"/>
      <c r="AO67" s="518"/>
      <c r="AP67" s="518"/>
      <c r="AQ67" s="518"/>
      <c r="AR67" s="518"/>
      <c r="AS67" s="518"/>
      <c r="AT67" s="518"/>
      <c r="AU67" s="518"/>
      <c r="AV67" s="518"/>
      <c r="AW67" s="518"/>
      <c r="AX67" s="518"/>
      <c r="AY67" s="518"/>
      <c r="AZ67" s="518"/>
      <c r="BA67" s="518"/>
      <c r="BB67" s="519"/>
      <c r="BC67" s="3"/>
      <c r="BD67" s="3"/>
      <c r="BE67" s="3"/>
    </row>
    <row x14ac:dyDescent="0.25" r="68" customHeight="1" ht="19.5">
      <c r="A68" s="3"/>
      <c r="B68" s="517"/>
      <c r="C68" s="518"/>
      <c r="D68" s="433"/>
      <c r="E68" s="433"/>
      <c r="F68" s="433"/>
      <c r="G68" s="518"/>
      <c r="H68" s="518"/>
      <c r="I68" s="433"/>
      <c r="J68" s="433"/>
      <c r="K68" s="433"/>
      <c r="L68" s="518"/>
      <c r="M68" s="518"/>
      <c r="N68" s="518"/>
      <c r="O68" s="518"/>
      <c r="P68" s="518"/>
      <c r="Q68" s="518"/>
      <c r="R68" s="518"/>
      <c r="S68" s="518"/>
      <c r="T68" s="518"/>
      <c r="U68" s="518"/>
      <c r="V68" s="518"/>
      <c r="W68" s="518"/>
      <c r="X68" s="518"/>
      <c r="Y68" s="518"/>
      <c r="Z68" s="518"/>
      <c r="AA68" s="518"/>
      <c r="AB68" s="518"/>
      <c r="AC68" s="518"/>
      <c r="AD68" s="518"/>
      <c r="AE68" s="518"/>
      <c r="AF68" s="518"/>
      <c r="AG68" s="518"/>
      <c r="AH68" s="518"/>
      <c r="AI68" s="518"/>
      <c r="AJ68" s="518"/>
      <c r="AK68" s="518"/>
      <c r="AL68" s="518"/>
      <c r="AM68" s="518"/>
      <c r="AN68" s="518"/>
      <c r="AO68" s="518"/>
      <c r="AP68" s="518"/>
      <c r="AQ68" s="518"/>
      <c r="AR68" s="518"/>
      <c r="AS68" s="518"/>
      <c r="AT68" s="518"/>
      <c r="AU68" s="518"/>
      <c r="AV68" s="518"/>
      <c r="AW68" s="518"/>
      <c r="AX68" s="518"/>
      <c r="AY68" s="518"/>
      <c r="AZ68" s="518"/>
      <c r="BA68" s="518"/>
      <c r="BB68" s="519"/>
      <c r="BC68" s="3"/>
      <c r="BD68" s="3"/>
      <c r="BE68" s="3"/>
    </row>
    <row x14ac:dyDescent="0.25" r="69" customHeight="1" ht="19.5">
      <c r="A69" s="3"/>
      <c r="B69" s="517"/>
      <c r="C69" s="518"/>
      <c r="D69" s="433"/>
      <c r="E69" s="433"/>
      <c r="F69" s="433"/>
      <c r="G69" s="518"/>
      <c r="H69" s="518"/>
      <c r="I69" s="433"/>
      <c r="J69" s="433"/>
      <c r="K69" s="433"/>
      <c r="L69" s="518"/>
      <c r="M69" s="518"/>
      <c r="N69" s="518"/>
      <c r="O69" s="518"/>
      <c r="P69" s="518"/>
      <c r="Q69" s="518"/>
      <c r="R69" s="518"/>
      <c r="S69" s="518"/>
      <c r="T69" s="518"/>
      <c r="U69" s="518"/>
      <c r="V69" s="518"/>
      <c r="W69" s="518"/>
      <c r="X69" s="518"/>
      <c r="Y69" s="518"/>
      <c r="Z69" s="518"/>
      <c r="AA69" s="518"/>
      <c r="AB69" s="518"/>
      <c r="AC69" s="518"/>
      <c r="AD69" s="518"/>
      <c r="AE69" s="518"/>
      <c r="AF69" s="518"/>
      <c r="AG69" s="518"/>
      <c r="AH69" s="518"/>
      <c r="AI69" s="518"/>
      <c r="AJ69" s="518"/>
      <c r="AK69" s="518"/>
      <c r="AL69" s="518"/>
      <c r="AM69" s="518"/>
      <c r="AN69" s="518"/>
      <c r="AO69" s="518"/>
      <c r="AP69" s="518"/>
      <c r="AQ69" s="518"/>
      <c r="AR69" s="518"/>
      <c r="AS69" s="518"/>
      <c r="AT69" s="518"/>
      <c r="AU69" s="518"/>
      <c r="AV69" s="518"/>
      <c r="AW69" s="518"/>
      <c r="AX69" s="518"/>
      <c r="AY69" s="518"/>
      <c r="AZ69" s="518"/>
      <c r="BA69" s="518"/>
      <c r="BB69" s="519"/>
      <c r="BC69" s="3"/>
      <c r="BD69" s="3"/>
      <c r="BE69" s="3"/>
    </row>
    <row x14ac:dyDescent="0.25" r="70" customHeight="1" ht="19.5">
      <c r="A70" s="3"/>
      <c r="B70" s="195" t="s">
        <v>490</v>
      </c>
      <c r="C70" s="431">
        <f>SUMIFS(Data!$S$3:$S$178,Data!$N$3:$N$178,C$1,Data!$K$3:$K$178,'Reporting 2022'!$B15)</f>
      </c>
      <c r="D70" s="431">
        <f>SUMIFS(Data!$S$3:$S$178,Data!$N$3:$N$178,D$1,Data!$K$3:$K$178,'Reporting 2022'!$B15)</f>
      </c>
      <c r="E70" s="431">
        <f>SUMIFS(Data!$S$3:$S$178,Data!$N$3:$N$178,E$1,Data!$K$3:$K$178,'Reporting 2022'!$B15)</f>
      </c>
      <c r="F70" s="431">
        <f>SUMIFS(Data!$S$3:$S$178,Data!$N$3:$N$178,F$1,Data!$K$3:$K$178,'Reporting 2022'!$B15)</f>
      </c>
      <c r="G70" s="431">
        <f>SUMIFS(Data!$S$3:$S$178,Data!$N$3:$N$178,G$1,Data!$K$3:$K$178,'Reporting 2022'!$B15)</f>
      </c>
      <c r="H70" s="431">
        <f>SUMIFS(Data!$S$3:$S$178,Data!$N$3:$N$178,H$1,Data!$K$3:$K$178,'Reporting 2022'!$B15)</f>
      </c>
      <c r="I70" s="431">
        <f>SUMIFS(Data!$S$3:$S$178,Data!$N$3:$N$178,I$1,Data!$K$3:$K$178,'Reporting 2022'!$B15)</f>
      </c>
      <c r="J70" s="431">
        <f>SUMIFS(Data!$S$3:$S$178,Data!$N$3:$N$178,J$1,Data!$K$3:$K$178,'Reporting 2022'!$B15)</f>
      </c>
      <c r="K70" s="431">
        <f>SUMIFS(Data!$S$3:$S$178,Data!$N$3:$N$178,K$1,Data!$K$3:$K$178,'Reporting 2022'!$B15)</f>
      </c>
      <c r="L70" s="431">
        <f>SUMIFS(Data!$S$3:$S$178,Data!$N$3:$N$178,L$1,Data!$K$3:$K$178,'Reporting 2022'!$B15)</f>
      </c>
      <c r="M70" s="431">
        <f>SUMIFS(Data!$S$3:$S$178,Data!$N$3:$N$178,M$1,Data!$K$3:$K$178,'Reporting 2022'!$B15)</f>
      </c>
      <c r="N70" s="431">
        <f>SUMIFS(Data!$S$3:$S$178,Data!$N$3:$N$178,N$1,Data!$K$3:$K$178,'Reporting 2022'!$B15)</f>
      </c>
      <c r="O70" s="431">
        <f>SUMIFS(Data!$S$3:$S$178,Data!$N$3:$N$178,O$1,Data!$K$3:$K$178,'Reporting 2022'!$B15)</f>
      </c>
      <c r="P70" s="431">
        <f>SUMIFS(Data!$S$3:$S$178,Data!$N$3:$N$178,P$1,Data!$K$3:$K$178,'Reporting 2022'!$B15)</f>
      </c>
      <c r="Q70" s="431">
        <f>SUMIFS(Data!$S$3:$S$178,Data!$N$3:$N$178,Q$1,Data!$K$3:$K$178,'Reporting 2022'!$B15)</f>
      </c>
      <c r="R70" s="431">
        <f>SUMIFS(Data!$S$3:$S$178,Data!$N$3:$N$178,R$1,Data!$K$3:$K$178,'Reporting 2022'!$B15)</f>
      </c>
      <c r="S70" s="431">
        <f>SUMIFS(Data!$S$3:$S$178,Data!$N$3:$N$178,S$1,Data!$K$3:$K$178,'Reporting 2022'!$B15)</f>
      </c>
      <c r="T70" s="431">
        <f>SUMIFS(Data!$S$3:$S$178,Data!$N$3:$N$178,T$1,Data!$K$3:$K$178,'Reporting 2022'!$B15)</f>
      </c>
      <c r="U70" s="431">
        <f>SUMIFS(Data!$S$3:$S$178,Data!$N$3:$N$178,U$1,Data!$K$3:$K$178,'Reporting 2022'!$B15)</f>
      </c>
      <c r="V70" s="431">
        <f>SUMIFS(Data!$S$3:$S$178,Data!$N$3:$N$178,V$1,Data!$K$3:$K$178,'Reporting 2022'!$B15)</f>
      </c>
      <c r="W70" s="431">
        <f>SUMIFS(Data!$S$3:$S$178,Data!$N$3:$N$178,W$1,Data!$K$3:$K$178,'Reporting 2022'!$B15)</f>
      </c>
      <c r="X70" s="431">
        <f>SUMIFS(Data!$S$3:$S$178,Data!$N$3:$N$178,X$1,Data!$K$3:$K$178,'Reporting 2022'!$B15)</f>
      </c>
      <c r="Y70" s="431">
        <f>SUMIFS(Data!$S$3:$S$178,Data!$N$3:$N$178,Y$1,Data!$K$3:$K$178,'Reporting 2022'!$B15)</f>
      </c>
      <c r="Z70" s="431">
        <f>SUMIFS(Data!$S$3:$S$178,Data!$N$3:$N$178,Z$1,Data!$K$3:$K$178,'Reporting 2022'!$B15)</f>
      </c>
      <c r="AA70" s="431">
        <f>SUMIFS(Data!$S$3:$S$178,Data!$N$3:$N$178,AA$1,Data!$K$3:$K$178,'Reporting 2022'!$B15)</f>
      </c>
      <c r="AB70" s="431">
        <f>SUMIFS(Data!$S$3:$S$178,Data!$N$3:$N$178,AB$1,Data!$K$3:$K$178,'Reporting 2022'!$B15)</f>
      </c>
      <c r="AC70" s="431">
        <f>SUMIFS(Data!$S$3:$S$178,Data!$N$3:$N$178,AC$1,Data!$K$3:$K$178,'Reporting 2022'!$B15)</f>
      </c>
      <c r="AD70" s="431">
        <f>SUMIFS(Data!$S$3:$S$178,Data!$N$3:$N$178,AD$1,Data!$K$3:$K$178,'Reporting 2022'!$B15)</f>
      </c>
      <c r="AE70" s="431">
        <f>SUMIFS(Data!$S$3:$S$178,Data!$N$3:$N$178,AE$1,Data!$K$3:$K$178,'Reporting 2022'!$B15)</f>
      </c>
      <c r="AF70" s="431">
        <f>SUMIFS(Data!$S$3:$S$178,Data!$N$3:$N$178,AF$1,Data!$K$3:$K$178,'Reporting 2022'!$B15)</f>
      </c>
      <c r="AG70" s="431">
        <f>SUMIFS(Data!$S$3:$S$178,Data!$N$3:$N$178,AG$1,Data!$K$3:$K$178,'Reporting 2022'!$B15)</f>
      </c>
      <c r="AH70" s="431">
        <f>SUMIFS(Data!$S$3:$S$178,Data!$N$3:$N$178,AH$1,Data!$K$3:$K$178,'Reporting 2022'!$B15)</f>
      </c>
      <c r="AI70" s="431">
        <f>SUMIFS(Data!$S$3:$S$178,Data!$N$3:$N$178,AI$1,Data!$K$3:$K$178,'Reporting 2022'!$B15)</f>
      </c>
      <c r="AJ70" s="431">
        <f>SUMIFS(Data!$S$3:$S$178,Data!$N$3:$N$178,AJ$1,Data!$K$3:$K$178,'Reporting 2022'!$B15)</f>
      </c>
      <c r="AK70" s="431">
        <f>SUMIFS(Data!$S$3:$S$178,Data!$N$3:$N$178,AK$1,Data!$K$3:$K$178,'Reporting 2022'!$B15)</f>
      </c>
      <c r="AL70" s="431">
        <f>SUMIFS(Data!$S$3:$S$178,Data!$N$3:$N$178,AL$1,Data!$K$3:$K$178,'Reporting 2022'!$B15)</f>
      </c>
      <c r="AM70" s="431">
        <f>SUMIFS(Data!$S$3:$S$178,Data!$N$3:$N$178,AM$1,Data!$K$3:$K$178,'Reporting 2022'!$B15)</f>
      </c>
      <c r="AN70" s="431">
        <f>SUMIFS(Data!$S$3:$S$178,Data!$N$3:$N$178,AN$1,Data!$K$3:$K$178,'Reporting 2022'!$B15)</f>
      </c>
      <c r="AO70" s="431">
        <f>SUMIFS(Data!$S$3:$S$178,Data!$N$3:$N$178,AO$1,Data!$K$3:$K$178,'Reporting 2022'!$B15)</f>
      </c>
      <c r="AP70" s="431">
        <f>SUMIFS(Data!$S$3:$S$178,Data!$N$3:$N$178,AP$1,Data!$K$3:$K$178,'Reporting 2022'!$B15)</f>
      </c>
      <c r="AQ70" s="431">
        <f>SUMIFS(Data!$S$3:$S$178,Data!$N$3:$N$178,AQ$1,Data!$K$3:$K$178,'Reporting 2022'!$B15)</f>
      </c>
      <c r="AR70" s="431">
        <f>SUMIFS(Data!$S$3:$S$178,Data!$N$3:$N$178,AR$1,Data!$K$3:$K$178,'Reporting 2022'!$B15)</f>
      </c>
      <c r="AS70" s="431">
        <f>SUMIFS(Data!$S$3:$S$178,Data!$N$3:$N$178,AS$1,Data!$K$3:$K$178,'Reporting 2022'!$B15)</f>
      </c>
      <c r="AT70" s="431">
        <f>SUMIFS(Data!$S$3:$S$178,Data!$N$3:$N$178,AT$1,Data!$K$3:$K$178,'Reporting 2022'!$B15)</f>
      </c>
      <c r="AU70" s="431">
        <f>SUMIFS(Data!$S$3:$S$178,Data!$N$3:$N$178,AU$1,Data!$K$3:$K$178,'Reporting 2022'!$B15)</f>
      </c>
      <c r="AV70" s="431">
        <f>SUMIFS(Data!$S$3:$S$178,Data!$N$3:$N$178,AV$1,Data!$K$3:$K$178,'Reporting 2022'!$B15)</f>
      </c>
      <c r="AW70" s="431">
        <f>SUMIFS(Data!$S$3:$S$178,Data!$N$3:$N$178,AW$1,Data!$K$3:$K$178,'Reporting 2022'!$B15)</f>
      </c>
      <c r="AX70" s="431">
        <f>SUMIFS(Data!$S$3:$S$178,Data!$N$3:$N$178,AX$1,Data!$K$3:$K$178,'Reporting 2022'!$B15)</f>
      </c>
      <c r="AY70" s="431">
        <f>SUMIFS(Data!$S$3:$S$178,Data!$N$3:$N$178,AY$1,Data!$K$3:$K$178,'Reporting 2022'!$B15)</f>
      </c>
      <c r="AZ70" s="431">
        <f>SUMIFS(Data!$S$3:$S$178,Data!$N$3:$N$178,AZ$1,Data!$K$3:$K$178,'Reporting 2022'!$B15)</f>
      </c>
      <c r="BA70" s="431">
        <f>SUMIFS(Data!$S$3:$S$178,Data!$N$3:$N$178,BA$1,Data!$K$3:$K$178,'Reporting 2022'!$B15)</f>
      </c>
      <c r="BB70" s="431">
        <f>SUMIFS(Data!$S$3:$S$178,Data!$N$3:$N$178,BB$1,Data!$K$3:$K$178,'Reporting 2022'!$B15)</f>
      </c>
      <c r="BC70" s="3"/>
      <c r="BD70" s="3"/>
      <c r="BE70" s="3"/>
    </row>
    <row x14ac:dyDescent="0.25" r="71" customHeight="1" ht="19.5">
      <c r="A71" s="3"/>
      <c r="B71" s="195" t="s">
        <v>491</v>
      </c>
      <c r="C71" s="431">
        <f>SUMIFS(Data!$S$3:$S$178,Data!$N$3:$N$178,C$1,Data!$K$3:$K$178,'Reporting 2022'!$B16)</f>
      </c>
      <c r="D71" s="431">
        <f>SUMIFS(Data!$S$3:$S$178,Data!$N$3:$N$178,D$1,Data!$K$3:$K$178,'Reporting 2022'!$B16)</f>
      </c>
      <c r="E71" s="431">
        <f>SUMIFS(Data!$S$3:$S$178,Data!$N$3:$N$178,E$1,Data!$K$3:$K$178,'Reporting 2022'!$B16)</f>
      </c>
      <c r="F71" s="431">
        <f>SUMIFS(Data!$S$3:$S$178,Data!$N$3:$N$178,F$1,Data!$K$3:$K$178,'Reporting 2022'!$B16)</f>
      </c>
      <c r="G71" s="431">
        <f>SUMIFS(Data!$S$3:$S$178,Data!$N$3:$N$178,G$1,Data!$K$3:$K$178,'Reporting 2022'!$B16)</f>
      </c>
      <c r="H71" s="431">
        <f>SUMIFS(Data!$S$3:$S$178,Data!$N$3:$N$178,H$1,Data!$K$3:$K$178,'Reporting 2022'!$B16)</f>
      </c>
      <c r="I71" s="431">
        <f>SUMIFS(Data!$S$3:$S$178,Data!$N$3:$N$178,I$1,Data!$K$3:$K$178,'Reporting 2022'!$B16)</f>
      </c>
      <c r="J71" s="431">
        <f>SUMIFS(Data!$S$3:$S$178,Data!$N$3:$N$178,J$1,Data!$K$3:$K$178,'Reporting 2022'!$B16)</f>
      </c>
      <c r="K71" s="431">
        <f>SUMIFS(Data!$S$3:$S$178,Data!$N$3:$N$178,K$1,Data!$K$3:$K$178,'Reporting 2022'!$B16)</f>
      </c>
      <c r="L71" s="431">
        <f>SUMIFS(Data!$S$3:$S$178,Data!$N$3:$N$178,L$1,Data!$K$3:$K$178,'Reporting 2022'!$B16)</f>
      </c>
      <c r="M71" s="431">
        <f>SUMIFS(Data!$S$3:$S$178,Data!$N$3:$N$178,M$1,Data!$K$3:$K$178,'Reporting 2022'!$B16)</f>
      </c>
      <c r="N71" s="431">
        <f>SUMIFS(Data!$S$3:$S$178,Data!$N$3:$N$178,N$1,Data!$K$3:$K$178,'Reporting 2022'!$B16)</f>
      </c>
      <c r="O71" s="431">
        <f>SUMIFS(Data!$S$3:$S$178,Data!$N$3:$N$178,O$1,Data!$K$3:$K$178,'Reporting 2022'!$B16)</f>
      </c>
      <c r="P71" s="431">
        <f>SUMIFS(Data!$S$3:$S$178,Data!$N$3:$N$178,P$1,Data!$K$3:$K$178,'Reporting 2022'!$B16)</f>
      </c>
      <c r="Q71" s="431">
        <f>SUMIFS(Data!$S$3:$S$178,Data!$N$3:$N$178,Q$1,Data!$K$3:$K$178,'Reporting 2022'!$B16)</f>
      </c>
      <c r="R71" s="431">
        <f>SUMIFS(Data!$S$3:$S$178,Data!$N$3:$N$178,R$1,Data!$K$3:$K$178,'Reporting 2022'!$B16)</f>
      </c>
      <c r="S71" s="431">
        <f>SUMIFS(Data!$S$3:$S$178,Data!$N$3:$N$178,S$1,Data!$K$3:$K$178,'Reporting 2022'!$B16)</f>
      </c>
      <c r="T71" s="431">
        <f>SUMIFS(Data!$S$3:$S$178,Data!$N$3:$N$178,T$1,Data!$K$3:$K$178,'Reporting 2022'!$B16)</f>
      </c>
      <c r="U71" s="431">
        <f>SUMIFS(Data!$S$3:$S$178,Data!$N$3:$N$178,U$1,Data!$K$3:$K$178,'Reporting 2022'!$B16)</f>
      </c>
      <c r="V71" s="431">
        <f>SUMIFS(Data!$S$3:$S$178,Data!$N$3:$N$178,V$1,Data!$K$3:$K$178,'Reporting 2022'!$B16)</f>
      </c>
      <c r="W71" s="431">
        <f>SUMIFS(Data!$S$3:$S$178,Data!$N$3:$N$178,W$1,Data!$K$3:$K$178,'Reporting 2022'!$B16)</f>
      </c>
      <c r="X71" s="431">
        <f>SUMIFS(Data!$S$3:$S$178,Data!$N$3:$N$178,X$1,Data!$K$3:$K$178,'Reporting 2022'!$B16)</f>
      </c>
      <c r="Y71" s="431">
        <f>SUMIFS(Data!$S$3:$S$178,Data!$N$3:$N$178,Y$1,Data!$K$3:$K$178,'Reporting 2022'!$B16)</f>
      </c>
      <c r="Z71" s="431">
        <f>SUMIFS(Data!$S$3:$S$178,Data!$N$3:$N$178,Z$1,Data!$K$3:$K$178,'Reporting 2022'!$B16)</f>
      </c>
      <c r="AA71" s="431">
        <f>SUMIFS(Data!$S$3:$S$178,Data!$N$3:$N$178,AA$1,Data!$K$3:$K$178,'Reporting 2022'!$B16)</f>
      </c>
      <c r="AB71" s="431">
        <f>SUMIFS(Data!$S$3:$S$178,Data!$N$3:$N$178,AB$1,Data!$K$3:$K$178,'Reporting 2022'!$B16)</f>
      </c>
      <c r="AC71" s="431">
        <f>SUMIFS(Data!$S$3:$S$178,Data!$N$3:$N$178,AC$1,Data!$K$3:$K$178,'Reporting 2022'!$B16)</f>
      </c>
      <c r="AD71" s="431">
        <f>SUMIFS(Data!$S$3:$S$178,Data!$N$3:$N$178,AD$1,Data!$K$3:$K$178,'Reporting 2022'!$B16)</f>
      </c>
      <c r="AE71" s="431">
        <f>SUMIFS(Data!$S$3:$S$178,Data!$N$3:$N$178,AE$1,Data!$K$3:$K$178,'Reporting 2022'!$B16)</f>
      </c>
      <c r="AF71" s="431">
        <f>SUMIFS(Data!$S$3:$S$178,Data!$N$3:$N$178,AF$1,Data!$K$3:$K$178,'Reporting 2022'!$B16)</f>
      </c>
      <c r="AG71" s="431">
        <f>SUMIFS(Data!$S$3:$S$178,Data!$N$3:$N$178,AG$1,Data!$K$3:$K$178,'Reporting 2022'!$B16)</f>
      </c>
      <c r="AH71" s="431">
        <f>SUMIFS(Data!$S$3:$S$178,Data!$N$3:$N$178,AH$1,Data!$K$3:$K$178,'Reporting 2022'!$B16)</f>
      </c>
      <c r="AI71" s="431">
        <f>SUMIFS(Data!$S$3:$S$178,Data!$N$3:$N$178,AI$1,Data!$K$3:$K$178,'Reporting 2022'!$B16)</f>
      </c>
      <c r="AJ71" s="431">
        <f>SUMIFS(Data!$S$3:$S$178,Data!$N$3:$N$178,AJ$1,Data!$K$3:$K$178,'Reporting 2022'!$B16)</f>
      </c>
      <c r="AK71" s="431">
        <f>SUMIFS(Data!$S$3:$S$178,Data!$N$3:$N$178,AK$1,Data!$K$3:$K$178,'Reporting 2022'!$B16)</f>
      </c>
      <c r="AL71" s="431">
        <f>SUMIFS(Data!$S$3:$S$178,Data!$N$3:$N$178,AL$1,Data!$K$3:$K$178,'Reporting 2022'!$B16)</f>
      </c>
      <c r="AM71" s="431">
        <f>SUMIFS(Data!$S$3:$S$178,Data!$N$3:$N$178,AM$1,Data!$K$3:$K$178,'Reporting 2022'!$B16)</f>
      </c>
      <c r="AN71" s="431">
        <f>SUMIFS(Data!$S$3:$S$178,Data!$N$3:$N$178,AN$1,Data!$K$3:$K$178,'Reporting 2022'!$B16)</f>
      </c>
      <c r="AO71" s="431">
        <f>SUMIFS(Data!$S$3:$S$178,Data!$N$3:$N$178,AO$1,Data!$K$3:$K$178,'Reporting 2022'!$B16)</f>
      </c>
      <c r="AP71" s="431">
        <f>SUMIFS(Data!$S$3:$S$178,Data!$N$3:$N$178,AP$1,Data!$K$3:$K$178,'Reporting 2022'!$B16)</f>
      </c>
      <c r="AQ71" s="431">
        <f>SUMIFS(Data!$S$3:$S$178,Data!$N$3:$N$178,AQ$1,Data!$K$3:$K$178,'Reporting 2022'!$B16)</f>
      </c>
      <c r="AR71" s="431">
        <f>SUMIFS(Data!$S$3:$S$178,Data!$N$3:$N$178,AR$1,Data!$K$3:$K$178,'Reporting 2022'!$B16)</f>
      </c>
      <c r="AS71" s="431">
        <f>SUMIFS(Data!$S$3:$S$178,Data!$N$3:$N$178,AS$1,Data!$K$3:$K$178,'Reporting 2022'!$B16)</f>
      </c>
      <c r="AT71" s="431">
        <f>SUMIFS(Data!$S$3:$S$178,Data!$N$3:$N$178,AT$1,Data!$K$3:$K$178,'Reporting 2022'!$B16)</f>
      </c>
      <c r="AU71" s="431">
        <f>SUMIFS(Data!$S$3:$S$178,Data!$N$3:$N$178,AU$1,Data!$K$3:$K$178,'Reporting 2022'!$B16)</f>
      </c>
      <c r="AV71" s="431">
        <f>SUMIFS(Data!$S$3:$S$178,Data!$N$3:$N$178,AV$1,Data!$K$3:$K$178,'Reporting 2022'!$B16)</f>
      </c>
      <c r="AW71" s="431">
        <f>SUMIFS(Data!$S$3:$S$178,Data!$N$3:$N$178,AW$1,Data!$K$3:$K$178,'Reporting 2022'!$B16)</f>
      </c>
      <c r="AX71" s="431">
        <f>SUMIFS(Data!$S$3:$S$178,Data!$N$3:$N$178,AX$1,Data!$K$3:$K$178,'Reporting 2022'!$B16)</f>
      </c>
      <c r="AY71" s="431">
        <f>SUMIFS(Data!$S$3:$S$178,Data!$N$3:$N$178,AY$1,Data!$K$3:$K$178,'Reporting 2022'!$B16)</f>
      </c>
      <c r="AZ71" s="431">
        <f>SUMIFS(Data!$S$3:$S$178,Data!$N$3:$N$178,AZ$1,Data!$K$3:$K$178,'Reporting 2022'!$B16)</f>
      </c>
      <c r="BA71" s="431">
        <f>SUMIFS(Data!$S$3:$S$178,Data!$N$3:$N$178,BA$1,Data!$K$3:$K$178,'Reporting 2022'!$B16)</f>
      </c>
      <c r="BB71" s="431">
        <f>SUMIFS(Data!$S$3:$S$178,Data!$N$3:$N$178,BB$1,Data!$K$3:$K$178,'Reporting 2022'!$B16)</f>
      </c>
      <c r="BC71" s="3"/>
      <c r="BD71" s="3"/>
      <c r="BE71" s="3"/>
    </row>
    <row x14ac:dyDescent="0.25" r="72" customHeight="1" ht="19.5">
      <c r="A72" s="3"/>
      <c r="B72" s="195" t="s">
        <v>492</v>
      </c>
      <c r="C72" s="431">
        <f>SUMIFS(Data!$S$3:$S$178,Data!$N$3:$N$178,C$1,Data!$K$3:$K$178,'Reporting 2022'!$B17)</f>
      </c>
      <c r="D72" s="431">
        <f>SUMIFS(Data!$S$3:$S$178,Data!$N$3:$N$178,D$1,Data!$K$3:$K$178,'Reporting 2022'!$B17)</f>
      </c>
      <c r="E72" s="431">
        <f>SUMIFS(Data!$S$3:$S$178,Data!$N$3:$N$178,E$1,Data!$K$3:$K$178,'Reporting 2022'!$B17)</f>
      </c>
      <c r="F72" s="431">
        <f>SUMIFS(Data!$S$3:$S$178,Data!$N$3:$N$178,F$1,Data!$K$3:$K$178,'Reporting 2022'!$B17)</f>
      </c>
      <c r="G72" s="431">
        <f>SUMIFS(Data!$S$3:$S$178,Data!$N$3:$N$178,G$1,Data!$K$3:$K$178,'Reporting 2022'!$B17)</f>
      </c>
      <c r="H72" s="431">
        <f>SUMIFS(Data!$S$3:$S$178,Data!$N$3:$N$178,H$1,Data!$K$3:$K$178,'Reporting 2022'!$B17)</f>
      </c>
      <c r="I72" s="431">
        <f>SUMIFS(Data!$S$3:$S$178,Data!$N$3:$N$178,I$1,Data!$K$3:$K$178,'Reporting 2022'!$B17)</f>
      </c>
      <c r="J72" s="431">
        <f>SUMIFS(Data!$S$3:$S$178,Data!$N$3:$N$178,J$1,Data!$K$3:$K$178,'Reporting 2022'!$B17)</f>
      </c>
      <c r="K72" s="431">
        <f>SUMIFS(Data!$S$3:$S$178,Data!$N$3:$N$178,K$1,Data!$K$3:$K$178,'Reporting 2022'!$B17)</f>
      </c>
      <c r="L72" s="431">
        <f>SUMIFS(Data!$S$3:$S$178,Data!$N$3:$N$178,L$1,Data!$K$3:$K$178,'Reporting 2022'!$B17)</f>
      </c>
      <c r="M72" s="431">
        <f>SUMIFS(Data!$S$3:$S$178,Data!$N$3:$N$178,M$1,Data!$K$3:$K$178,'Reporting 2022'!$B17)</f>
      </c>
      <c r="N72" s="431">
        <f>SUMIFS(Data!$S$3:$S$178,Data!$N$3:$N$178,N$1,Data!$K$3:$K$178,'Reporting 2022'!$B17)</f>
      </c>
      <c r="O72" s="431">
        <f>SUMIFS(Data!$S$3:$S$178,Data!$N$3:$N$178,O$1,Data!$K$3:$K$178,'Reporting 2022'!$B17)</f>
      </c>
      <c r="P72" s="431">
        <f>SUMIFS(Data!$S$3:$S$178,Data!$N$3:$N$178,P$1,Data!$K$3:$K$178,'Reporting 2022'!$B17)</f>
      </c>
      <c r="Q72" s="431">
        <f>SUMIFS(Data!$S$3:$S$178,Data!$N$3:$N$178,Q$1,Data!$K$3:$K$178,'Reporting 2022'!$B17)</f>
      </c>
      <c r="R72" s="431">
        <f>SUMIFS(Data!$S$3:$S$178,Data!$N$3:$N$178,R$1,Data!$K$3:$K$178,'Reporting 2022'!$B17)</f>
      </c>
      <c r="S72" s="431">
        <f>SUMIFS(Data!$S$3:$S$178,Data!$N$3:$N$178,S$1,Data!$K$3:$K$178,'Reporting 2022'!$B17)</f>
      </c>
      <c r="T72" s="431">
        <f>SUMIFS(Data!$S$3:$S$178,Data!$N$3:$N$178,T$1,Data!$K$3:$K$178,'Reporting 2022'!$B17)</f>
      </c>
      <c r="U72" s="431">
        <f>SUMIFS(Data!$S$3:$S$178,Data!$N$3:$N$178,U$1,Data!$K$3:$K$178,'Reporting 2022'!$B17)</f>
      </c>
      <c r="V72" s="431">
        <f>SUMIFS(Data!$S$3:$S$178,Data!$N$3:$N$178,V$1,Data!$K$3:$K$178,'Reporting 2022'!$B17)</f>
      </c>
      <c r="W72" s="431">
        <f>SUMIFS(Data!$S$3:$S$178,Data!$N$3:$N$178,W$1,Data!$K$3:$K$178,'Reporting 2022'!$B17)</f>
      </c>
      <c r="X72" s="431">
        <f>SUMIFS(Data!$S$3:$S$178,Data!$N$3:$N$178,X$1,Data!$K$3:$K$178,'Reporting 2022'!$B17)</f>
      </c>
      <c r="Y72" s="431">
        <f>SUMIFS(Data!$S$3:$S$178,Data!$N$3:$N$178,Y$1,Data!$K$3:$K$178,'Reporting 2022'!$B17)</f>
      </c>
      <c r="Z72" s="431">
        <f>SUMIFS(Data!$S$3:$S$178,Data!$N$3:$N$178,Z$1,Data!$K$3:$K$178,'Reporting 2022'!$B17)</f>
      </c>
      <c r="AA72" s="431">
        <f>SUMIFS(Data!$S$3:$S$178,Data!$N$3:$N$178,AA$1,Data!$K$3:$K$178,'Reporting 2022'!$B17)</f>
      </c>
      <c r="AB72" s="431">
        <f>SUMIFS(Data!$S$3:$S$178,Data!$N$3:$N$178,AB$1,Data!$K$3:$K$178,'Reporting 2022'!$B17)</f>
      </c>
      <c r="AC72" s="431">
        <f>SUMIFS(Data!$S$3:$S$178,Data!$N$3:$N$178,AC$1,Data!$K$3:$K$178,'Reporting 2022'!$B17)</f>
      </c>
      <c r="AD72" s="431">
        <f>SUMIFS(Data!$S$3:$S$178,Data!$N$3:$N$178,AD$1,Data!$K$3:$K$178,'Reporting 2022'!$B17)</f>
      </c>
      <c r="AE72" s="431">
        <f>SUMIFS(Data!$S$3:$S$178,Data!$N$3:$N$178,AE$1,Data!$K$3:$K$178,'Reporting 2022'!$B17)</f>
      </c>
      <c r="AF72" s="431">
        <f>SUMIFS(Data!$S$3:$S$178,Data!$N$3:$N$178,AF$1,Data!$K$3:$K$178,'Reporting 2022'!$B17)</f>
      </c>
      <c r="AG72" s="431">
        <f>SUMIFS(Data!$S$3:$S$178,Data!$N$3:$N$178,AG$1,Data!$K$3:$K$178,'Reporting 2022'!$B17)</f>
      </c>
      <c r="AH72" s="431">
        <f>SUMIFS(Data!$S$3:$S$178,Data!$N$3:$N$178,AH$1,Data!$K$3:$K$178,'Reporting 2022'!$B17)</f>
      </c>
      <c r="AI72" s="431">
        <f>SUMIFS(Data!$S$3:$S$178,Data!$N$3:$N$178,AI$1,Data!$K$3:$K$178,'Reporting 2022'!$B17)</f>
      </c>
      <c r="AJ72" s="431">
        <f>SUMIFS(Data!$S$3:$S$178,Data!$N$3:$N$178,AJ$1,Data!$K$3:$K$178,'Reporting 2022'!$B17)</f>
      </c>
      <c r="AK72" s="431">
        <f>SUMIFS(Data!$S$3:$S$178,Data!$N$3:$N$178,AK$1,Data!$K$3:$K$178,'Reporting 2022'!$B17)</f>
      </c>
      <c r="AL72" s="431">
        <f>SUMIFS(Data!$S$3:$S$178,Data!$N$3:$N$178,AL$1,Data!$K$3:$K$178,'Reporting 2022'!$B17)</f>
      </c>
      <c r="AM72" s="431">
        <f>SUMIFS(Data!$S$3:$S$178,Data!$N$3:$N$178,AM$1,Data!$K$3:$K$178,'Reporting 2022'!$B17)</f>
      </c>
      <c r="AN72" s="431">
        <f>SUMIFS(Data!$S$3:$S$178,Data!$N$3:$N$178,AN$1,Data!$K$3:$K$178,'Reporting 2022'!$B17)</f>
      </c>
      <c r="AO72" s="431">
        <f>SUMIFS(Data!$S$3:$S$178,Data!$N$3:$N$178,AO$1,Data!$K$3:$K$178,'Reporting 2022'!$B17)</f>
      </c>
      <c r="AP72" s="431">
        <f>SUMIFS(Data!$S$3:$S$178,Data!$N$3:$N$178,AP$1,Data!$K$3:$K$178,'Reporting 2022'!$B17)</f>
      </c>
      <c r="AQ72" s="431">
        <f>SUMIFS(Data!$S$3:$S$178,Data!$N$3:$N$178,AQ$1,Data!$K$3:$K$178,'Reporting 2022'!$B17)</f>
      </c>
      <c r="AR72" s="431">
        <f>SUMIFS(Data!$S$3:$S$178,Data!$N$3:$N$178,AR$1,Data!$K$3:$K$178,'Reporting 2022'!$B17)</f>
      </c>
      <c r="AS72" s="431">
        <f>SUMIFS(Data!$S$3:$S$178,Data!$N$3:$N$178,AS$1,Data!$K$3:$K$178,'Reporting 2022'!$B17)</f>
      </c>
      <c r="AT72" s="431">
        <f>SUMIFS(Data!$S$3:$S$178,Data!$N$3:$N$178,AT$1,Data!$K$3:$K$178,'Reporting 2022'!$B17)</f>
      </c>
      <c r="AU72" s="431">
        <f>SUMIFS(Data!$S$3:$S$178,Data!$N$3:$N$178,AU$1,Data!$K$3:$K$178,'Reporting 2022'!$B17)</f>
      </c>
      <c r="AV72" s="431">
        <f>SUMIFS(Data!$S$3:$S$178,Data!$N$3:$N$178,AV$1,Data!$K$3:$K$178,'Reporting 2022'!$B17)</f>
      </c>
      <c r="AW72" s="431">
        <f>SUMIFS(Data!$S$3:$S$178,Data!$N$3:$N$178,AW$1,Data!$K$3:$K$178,'Reporting 2022'!$B17)</f>
      </c>
      <c r="AX72" s="431">
        <f>SUMIFS(Data!$S$3:$S$178,Data!$N$3:$N$178,AX$1,Data!$K$3:$K$178,'Reporting 2022'!$B17)</f>
      </c>
      <c r="AY72" s="431">
        <f>SUMIFS(Data!$S$3:$S$178,Data!$N$3:$N$178,AY$1,Data!$K$3:$K$178,'Reporting 2022'!$B17)</f>
      </c>
      <c r="AZ72" s="431">
        <f>SUMIFS(Data!$S$3:$S$178,Data!$N$3:$N$178,AZ$1,Data!$K$3:$K$178,'Reporting 2022'!$B17)</f>
      </c>
      <c r="BA72" s="431">
        <f>SUMIFS(Data!$S$3:$S$178,Data!$N$3:$N$178,BA$1,Data!$K$3:$K$178,'Reporting 2022'!$B17)</f>
      </c>
      <c r="BB72" s="431">
        <f>SUMIFS(Data!$S$3:$S$178,Data!$N$3:$N$178,BB$1,Data!$K$3:$K$178,'Reporting 2022'!$B17)</f>
      </c>
      <c r="BC72" s="3"/>
      <c r="BD72" s="3"/>
      <c r="BE72" s="3"/>
    </row>
    <row x14ac:dyDescent="0.25" r="73" customHeight="1" ht="19.5">
      <c r="A73" s="3"/>
      <c r="B73" s="195" t="s">
        <v>493</v>
      </c>
      <c r="C73" s="431">
        <f>SUMIFS(Data!$S$3:$S$178,Data!$N$3:$N$178,C$1,Data!$K$3:$K$178,'Reporting 2022'!$B18)</f>
      </c>
      <c r="D73" s="431">
        <f>SUMIFS(Data!$S$3:$S$178,Data!$N$3:$N$178,D$1,Data!$K$3:$K$178,'Reporting 2022'!$B18)</f>
      </c>
      <c r="E73" s="431">
        <f>SUMIFS(Data!$S$3:$S$178,Data!$N$3:$N$178,E$1,Data!$K$3:$K$178,'Reporting 2022'!$B18)</f>
      </c>
      <c r="F73" s="431">
        <f>SUMIFS(Data!$S$3:$S$178,Data!$N$3:$N$178,F$1,Data!$K$3:$K$178,'Reporting 2022'!$B18)</f>
      </c>
      <c r="G73" s="431">
        <f>SUMIFS(Data!$S$3:$S$178,Data!$N$3:$N$178,G$1,Data!$K$3:$K$178,'Reporting 2022'!$B18)</f>
      </c>
      <c r="H73" s="431">
        <f>SUMIFS(Data!$S$3:$S$178,Data!$N$3:$N$178,H$1,Data!$K$3:$K$178,'Reporting 2022'!$B18)</f>
      </c>
      <c r="I73" s="431">
        <f>SUMIFS(Data!$S$3:$S$178,Data!$N$3:$N$178,I$1,Data!$K$3:$K$178,'Reporting 2022'!$B18)</f>
      </c>
      <c r="J73" s="431">
        <f>SUMIFS(Data!$S$3:$S$178,Data!$N$3:$N$178,J$1,Data!$K$3:$K$178,'Reporting 2022'!$B18)</f>
      </c>
      <c r="K73" s="431">
        <f>SUMIFS(Data!$S$3:$S$178,Data!$N$3:$N$178,K$1,Data!$K$3:$K$178,'Reporting 2022'!$B18)</f>
      </c>
      <c r="L73" s="431">
        <f>SUMIFS(Data!$S$3:$S$178,Data!$N$3:$N$178,L$1,Data!$K$3:$K$178,'Reporting 2022'!$B18)</f>
      </c>
      <c r="M73" s="431">
        <f>SUMIFS(Data!$S$3:$S$178,Data!$N$3:$N$178,M$1,Data!$K$3:$K$178,'Reporting 2022'!$B18)</f>
      </c>
      <c r="N73" s="431">
        <f>SUMIFS(Data!$S$3:$S$178,Data!$N$3:$N$178,N$1,Data!$K$3:$K$178,'Reporting 2022'!$B18)</f>
      </c>
      <c r="O73" s="431">
        <f>SUMIFS(Data!$S$3:$S$178,Data!$N$3:$N$178,O$1,Data!$K$3:$K$178,'Reporting 2022'!$B18)</f>
      </c>
      <c r="P73" s="431">
        <f>SUMIFS(Data!$S$3:$S$178,Data!$N$3:$N$178,P$1,Data!$K$3:$K$178,'Reporting 2022'!$B18)</f>
      </c>
      <c r="Q73" s="431">
        <f>SUMIFS(Data!$S$3:$S$178,Data!$N$3:$N$178,Q$1,Data!$K$3:$K$178,'Reporting 2022'!$B18)</f>
      </c>
      <c r="R73" s="431">
        <f>SUMIFS(Data!$S$3:$S$178,Data!$N$3:$N$178,R$1,Data!$K$3:$K$178,'Reporting 2022'!$B18)</f>
      </c>
      <c r="S73" s="431">
        <f>SUMIFS(Data!$S$3:$S$178,Data!$N$3:$N$178,S$1,Data!$K$3:$K$178,'Reporting 2022'!$B18)</f>
      </c>
      <c r="T73" s="431">
        <f>SUMIFS(Data!$S$3:$S$178,Data!$N$3:$N$178,T$1,Data!$K$3:$K$178,'Reporting 2022'!$B18)</f>
      </c>
      <c r="U73" s="431">
        <f>SUMIFS(Data!$S$3:$S$178,Data!$N$3:$N$178,U$1,Data!$K$3:$K$178,'Reporting 2022'!$B18)</f>
      </c>
      <c r="V73" s="431">
        <f>SUMIFS(Data!$S$3:$S$178,Data!$N$3:$N$178,V$1,Data!$K$3:$K$178,'Reporting 2022'!$B18)</f>
      </c>
      <c r="W73" s="431">
        <f>SUMIFS(Data!$S$3:$S$178,Data!$N$3:$N$178,W$1,Data!$K$3:$K$178,'Reporting 2022'!$B18)</f>
      </c>
      <c r="X73" s="431">
        <f>SUMIFS(Data!$S$3:$S$178,Data!$N$3:$N$178,X$1,Data!$K$3:$K$178,'Reporting 2022'!$B18)</f>
      </c>
      <c r="Y73" s="431">
        <f>SUMIFS(Data!$S$3:$S$178,Data!$N$3:$N$178,Y$1,Data!$K$3:$K$178,'Reporting 2022'!$B18)</f>
      </c>
      <c r="Z73" s="431">
        <f>SUMIFS(Data!$S$3:$S$178,Data!$N$3:$N$178,Z$1,Data!$K$3:$K$178,'Reporting 2022'!$B18)</f>
      </c>
      <c r="AA73" s="431">
        <f>SUMIFS(Data!$S$3:$S$178,Data!$N$3:$N$178,AA$1,Data!$K$3:$K$178,'Reporting 2022'!$B18)</f>
      </c>
      <c r="AB73" s="431">
        <f>SUMIFS(Data!$S$3:$S$178,Data!$N$3:$N$178,AB$1,Data!$K$3:$K$178,'Reporting 2022'!$B18)</f>
      </c>
      <c r="AC73" s="431">
        <f>SUMIFS(Data!$S$3:$S$178,Data!$N$3:$N$178,AC$1,Data!$K$3:$K$178,'Reporting 2022'!$B18)</f>
      </c>
      <c r="AD73" s="431">
        <f>SUMIFS(Data!$S$3:$S$178,Data!$N$3:$N$178,AD$1,Data!$K$3:$K$178,'Reporting 2022'!$B18)</f>
      </c>
      <c r="AE73" s="431">
        <f>SUMIFS(Data!$S$3:$S$178,Data!$N$3:$N$178,AE$1,Data!$K$3:$K$178,'Reporting 2022'!$B18)</f>
      </c>
      <c r="AF73" s="431">
        <f>SUMIFS(Data!$S$3:$S$178,Data!$N$3:$N$178,AF$1,Data!$K$3:$K$178,'Reporting 2022'!$B18)</f>
      </c>
      <c r="AG73" s="431">
        <f>SUMIFS(Data!$S$3:$S$178,Data!$N$3:$N$178,AG$1,Data!$K$3:$K$178,'Reporting 2022'!$B18)</f>
      </c>
      <c r="AH73" s="431">
        <f>SUMIFS(Data!$S$3:$S$178,Data!$N$3:$N$178,AH$1,Data!$K$3:$K$178,'Reporting 2022'!$B18)</f>
      </c>
      <c r="AI73" s="431">
        <f>SUMIFS(Data!$S$3:$S$178,Data!$N$3:$N$178,AI$1,Data!$K$3:$K$178,'Reporting 2022'!$B18)</f>
      </c>
      <c r="AJ73" s="431">
        <f>SUMIFS(Data!$S$3:$S$178,Data!$N$3:$N$178,AJ$1,Data!$K$3:$K$178,'Reporting 2022'!$B18)</f>
      </c>
      <c r="AK73" s="431">
        <f>SUMIFS(Data!$S$3:$S$178,Data!$N$3:$N$178,AK$1,Data!$K$3:$K$178,'Reporting 2022'!$B18)</f>
      </c>
      <c r="AL73" s="431">
        <f>SUMIFS(Data!$S$3:$S$178,Data!$N$3:$N$178,AL$1,Data!$K$3:$K$178,'Reporting 2022'!$B18)</f>
      </c>
      <c r="AM73" s="431">
        <f>SUMIFS(Data!$S$3:$S$178,Data!$N$3:$N$178,AM$1,Data!$K$3:$K$178,'Reporting 2022'!$B18)</f>
      </c>
      <c r="AN73" s="431">
        <f>SUMIFS(Data!$S$3:$S$178,Data!$N$3:$N$178,AN$1,Data!$K$3:$K$178,'Reporting 2022'!$B18)</f>
      </c>
      <c r="AO73" s="431">
        <f>SUMIFS(Data!$S$3:$S$178,Data!$N$3:$N$178,AO$1,Data!$K$3:$K$178,'Reporting 2022'!$B18)</f>
      </c>
      <c r="AP73" s="431">
        <f>SUMIFS(Data!$S$3:$S$178,Data!$N$3:$N$178,AP$1,Data!$K$3:$K$178,'Reporting 2022'!$B18)</f>
      </c>
      <c r="AQ73" s="431">
        <f>SUMIFS(Data!$S$3:$S$178,Data!$N$3:$N$178,AQ$1,Data!$K$3:$K$178,'Reporting 2022'!$B18)</f>
      </c>
      <c r="AR73" s="431">
        <f>SUMIFS(Data!$S$3:$S$178,Data!$N$3:$N$178,AR$1,Data!$K$3:$K$178,'Reporting 2022'!$B18)</f>
      </c>
      <c r="AS73" s="431">
        <f>SUMIFS(Data!$S$3:$S$178,Data!$N$3:$N$178,AS$1,Data!$K$3:$K$178,'Reporting 2022'!$B18)</f>
      </c>
      <c r="AT73" s="431">
        <f>SUMIFS(Data!$S$3:$S$178,Data!$N$3:$N$178,AT$1,Data!$K$3:$K$178,'Reporting 2022'!$B18)</f>
      </c>
      <c r="AU73" s="431">
        <f>SUMIFS(Data!$S$3:$S$178,Data!$N$3:$N$178,AU$1,Data!$K$3:$K$178,'Reporting 2022'!$B18)</f>
      </c>
      <c r="AV73" s="431">
        <f>SUMIFS(Data!$S$3:$S$178,Data!$N$3:$N$178,AV$1,Data!$K$3:$K$178,'Reporting 2022'!$B18)</f>
      </c>
      <c r="AW73" s="431">
        <f>SUMIFS(Data!$S$3:$S$178,Data!$N$3:$N$178,AW$1,Data!$K$3:$K$178,'Reporting 2022'!$B18)</f>
      </c>
      <c r="AX73" s="431">
        <f>SUMIFS(Data!$S$3:$S$178,Data!$N$3:$N$178,AX$1,Data!$K$3:$K$178,'Reporting 2022'!$B18)</f>
      </c>
      <c r="AY73" s="431">
        <f>SUMIFS(Data!$S$3:$S$178,Data!$N$3:$N$178,AY$1,Data!$K$3:$K$178,'Reporting 2022'!$B18)</f>
      </c>
      <c r="AZ73" s="431">
        <f>SUMIFS(Data!$S$3:$S$178,Data!$N$3:$N$178,AZ$1,Data!$K$3:$K$178,'Reporting 2022'!$B18)</f>
      </c>
      <c r="BA73" s="431">
        <f>SUMIFS(Data!$S$3:$S$178,Data!$N$3:$N$178,BA$1,Data!$K$3:$K$178,'Reporting 2022'!$B18)</f>
      </c>
      <c r="BB73" s="431">
        <f>SUMIFS(Data!$S$3:$S$178,Data!$N$3:$N$178,BB$1,Data!$K$3:$K$178,'Reporting 2022'!$B18)</f>
      </c>
      <c r="BC73" s="3"/>
      <c r="BD73" s="3"/>
      <c r="BE73" s="3"/>
    </row>
    <row x14ac:dyDescent="0.25" r="74" customHeight="1" ht="19.5">
      <c r="A74" s="3"/>
      <c r="B74" s="195" t="s">
        <v>494</v>
      </c>
      <c r="C74" s="431">
        <f>SUMIFS(Data!$S$3:$S$178,Data!$N$3:$N$178,C$1,Data!$K$3:$K$178,'Reporting 2022'!$B19)</f>
      </c>
      <c r="D74" s="431">
        <f>SUMIFS(Data!$S$3:$S$178,Data!$N$3:$N$178,D$1,Data!$K$3:$K$178,'Reporting 2022'!$B19)</f>
      </c>
      <c r="E74" s="431">
        <f>SUMIFS(Data!$S$3:$S$178,Data!$N$3:$N$178,E$1,Data!$K$3:$K$178,'Reporting 2022'!$B19)</f>
      </c>
      <c r="F74" s="431">
        <f>SUMIFS(Data!$S$3:$S$178,Data!$N$3:$N$178,F$1,Data!$K$3:$K$178,'Reporting 2022'!$B19)</f>
      </c>
      <c r="G74" s="431">
        <f>SUMIFS(Data!$S$3:$S$178,Data!$N$3:$N$178,G$1,Data!$K$3:$K$178,'Reporting 2022'!$B19)</f>
      </c>
      <c r="H74" s="431">
        <f>SUMIFS(Data!$S$3:$S$178,Data!$N$3:$N$178,H$1,Data!$K$3:$K$178,'Reporting 2022'!$B19)</f>
      </c>
      <c r="I74" s="431">
        <f>SUMIFS(Data!$S$3:$S$178,Data!$N$3:$N$178,I$1,Data!$K$3:$K$178,'Reporting 2022'!$B19)</f>
      </c>
      <c r="J74" s="431">
        <f>SUMIFS(Data!$S$3:$S$178,Data!$N$3:$N$178,J$1,Data!$K$3:$K$178,'Reporting 2022'!$B19)</f>
      </c>
      <c r="K74" s="431">
        <f>SUMIFS(Data!$S$3:$S$178,Data!$N$3:$N$178,K$1,Data!$K$3:$K$178,'Reporting 2022'!$B19)</f>
      </c>
      <c r="L74" s="431">
        <f>SUMIFS(Data!$S$3:$S$178,Data!$N$3:$N$178,L$1,Data!$K$3:$K$178,'Reporting 2022'!$B19)</f>
      </c>
      <c r="M74" s="431">
        <f>SUMIFS(Data!$S$3:$S$178,Data!$N$3:$N$178,M$1,Data!$K$3:$K$178,'Reporting 2022'!$B19)</f>
      </c>
      <c r="N74" s="431">
        <f>SUMIFS(Data!$S$3:$S$178,Data!$N$3:$N$178,N$1,Data!$K$3:$K$178,'Reporting 2022'!$B19)</f>
      </c>
      <c r="O74" s="431">
        <f>SUMIFS(Data!$S$3:$S$178,Data!$N$3:$N$178,O$1,Data!$K$3:$K$178,'Reporting 2022'!$B19)</f>
      </c>
      <c r="P74" s="431">
        <f>SUMIFS(Data!$S$3:$S$178,Data!$N$3:$N$178,P$1,Data!$K$3:$K$178,'Reporting 2022'!$B19)</f>
      </c>
      <c r="Q74" s="431">
        <f>SUMIFS(Data!$S$3:$S$178,Data!$N$3:$N$178,Q$1,Data!$K$3:$K$178,'Reporting 2022'!$B19)</f>
      </c>
      <c r="R74" s="431">
        <f>SUMIFS(Data!$S$3:$S$178,Data!$N$3:$N$178,R$1,Data!$K$3:$K$178,'Reporting 2022'!$B19)</f>
      </c>
      <c r="S74" s="431">
        <f>SUMIFS(Data!$S$3:$S$178,Data!$N$3:$N$178,S$1,Data!$K$3:$K$178,'Reporting 2022'!$B19)</f>
      </c>
      <c r="T74" s="431">
        <f>SUMIFS(Data!$S$3:$S$178,Data!$N$3:$N$178,T$1,Data!$K$3:$K$178,'Reporting 2022'!$B19)</f>
      </c>
      <c r="U74" s="431">
        <f>SUMIFS(Data!$S$3:$S$178,Data!$N$3:$N$178,U$1,Data!$K$3:$K$178,'Reporting 2022'!$B19)</f>
      </c>
      <c r="V74" s="431">
        <f>SUMIFS(Data!$S$3:$S$178,Data!$N$3:$N$178,V$1,Data!$K$3:$K$178,'Reporting 2022'!$B19)</f>
      </c>
      <c r="W74" s="431">
        <f>SUMIFS(Data!$S$3:$S$178,Data!$N$3:$N$178,W$1,Data!$K$3:$K$178,'Reporting 2022'!$B19)</f>
      </c>
      <c r="X74" s="431">
        <f>SUMIFS(Data!$S$3:$S$178,Data!$N$3:$N$178,X$1,Data!$K$3:$K$178,'Reporting 2022'!$B19)</f>
      </c>
      <c r="Y74" s="431">
        <f>SUMIFS(Data!$S$3:$S$178,Data!$N$3:$N$178,Y$1,Data!$K$3:$K$178,'Reporting 2022'!$B19)</f>
      </c>
      <c r="Z74" s="431">
        <f>SUMIFS(Data!$S$3:$S$178,Data!$N$3:$N$178,Z$1,Data!$K$3:$K$178,'Reporting 2022'!$B19)</f>
      </c>
      <c r="AA74" s="431">
        <f>SUMIFS(Data!$S$3:$S$178,Data!$N$3:$N$178,AA$1,Data!$K$3:$K$178,'Reporting 2022'!$B19)</f>
      </c>
      <c r="AB74" s="431">
        <f>SUMIFS(Data!$S$3:$S$178,Data!$N$3:$N$178,AB$1,Data!$K$3:$K$178,'Reporting 2022'!$B19)</f>
      </c>
      <c r="AC74" s="431">
        <f>SUMIFS(Data!$S$3:$S$178,Data!$N$3:$N$178,AC$1,Data!$K$3:$K$178,'Reporting 2022'!$B19)</f>
      </c>
      <c r="AD74" s="431">
        <f>SUMIFS(Data!$S$3:$S$178,Data!$N$3:$N$178,AD$1,Data!$K$3:$K$178,'Reporting 2022'!$B19)</f>
      </c>
      <c r="AE74" s="431">
        <f>SUMIFS(Data!$S$3:$S$178,Data!$N$3:$N$178,AE$1,Data!$K$3:$K$178,'Reporting 2022'!$B19)</f>
      </c>
      <c r="AF74" s="431">
        <f>SUMIFS(Data!$S$3:$S$178,Data!$N$3:$N$178,AF$1,Data!$K$3:$K$178,'Reporting 2022'!$B19)</f>
      </c>
      <c r="AG74" s="431">
        <f>SUMIFS(Data!$S$3:$S$178,Data!$N$3:$N$178,AG$1,Data!$K$3:$K$178,'Reporting 2022'!$B19)</f>
      </c>
      <c r="AH74" s="431">
        <f>SUMIFS(Data!$S$3:$S$178,Data!$N$3:$N$178,AH$1,Data!$K$3:$K$178,'Reporting 2022'!$B19)</f>
      </c>
      <c r="AI74" s="431">
        <f>SUMIFS(Data!$S$3:$S$178,Data!$N$3:$N$178,AI$1,Data!$K$3:$K$178,'Reporting 2022'!$B19)</f>
      </c>
      <c r="AJ74" s="431">
        <f>SUMIFS(Data!$S$3:$S$178,Data!$N$3:$N$178,AJ$1,Data!$K$3:$K$178,'Reporting 2022'!$B19)</f>
      </c>
      <c r="AK74" s="431">
        <f>SUMIFS(Data!$S$3:$S$178,Data!$N$3:$N$178,AK$1,Data!$K$3:$K$178,'Reporting 2022'!$B19)</f>
      </c>
      <c r="AL74" s="431">
        <f>SUMIFS(Data!$S$3:$S$178,Data!$N$3:$N$178,AL$1,Data!$K$3:$K$178,'Reporting 2022'!$B19)</f>
      </c>
      <c r="AM74" s="431">
        <f>SUMIFS(Data!$S$3:$S$178,Data!$N$3:$N$178,AM$1,Data!$K$3:$K$178,'Reporting 2022'!$B19)</f>
      </c>
      <c r="AN74" s="431">
        <f>SUMIFS(Data!$S$3:$S$178,Data!$N$3:$N$178,AN$1,Data!$K$3:$K$178,'Reporting 2022'!$B19)</f>
      </c>
      <c r="AO74" s="431">
        <f>SUMIFS(Data!$S$3:$S$178,Data!$N$3:$N$178,AO$1,Data!$K$3:$K$178,'Reporting 2022'!$B19)</f>
      </c>
      <c r="AP74" s="431">
        <f>SUMIFS(Data!$S$3:$S$178,Data!$N$3:$N$178,AP$1,Data!$K$3:$K$178,'Reporting 2022'!$B19)</f>
      </c>
      <c r="AQ74" s="431">
        <f>SUMIFS(Data!$S$3:$S$178,Data!$N$3:$N$178,AQ$1,Data!$K$3:$K$178,'Reporting 2022'!$B19)</f>
      </c>
      <c r="AR74" s="431">
        <f>SUMIFS(Data!$S$3:$S$178,Data!$N$3:$N$178,AR$1,Data!$K$3:$K$178,'Reporting 2022'!$B19)</f>
      </c>
      <c r="AS74" s="431">
        <f>SUMIFS(Data!$S$3:$S$178,Data!$N$3:$N$178,AS$1,Data!$K$3:$K$178,'Reporting 2022'!$B19)</f>
      </c>
      <c r="AT74" s="431">
        <f>SUMIFS(Data!$S$3:$S$178,Data!$N$3:$N$178,AT$1,Data!$K$3:$K$178,'Reporting 2022'!$B19)</f>
      </c>
      <c r="AU74" s="431">
        <f>SUMIFS(Data!$S$3:$S$178,Data!$N$3:$N$178,AU$1,Data!$K$3:$K$178,'Reporting 2022'!$B19)</f>
      </c>
      <c r="AV74" s="431">
        <f>SUMIFS(Data!$S$3:$S$178,Data!$N$3:$N$178,AV$1,Data!$K$3:$K$178,'Reporting 2022'!$B19)</f>
      </c>
      <c r="AW74" s="431">
        <f>SUMIFS(Data!$S$3:$S$178,Data!$N$3:$N$178,AW$1,Data!$K$3:$K$178,'Reporting 2022'!$B19)</f>
      </c>
      <c r="AX74" s="431">
        <f>SUMIFS(Data!$S$3:$S$178,Data!$N$3:$N$178,AX$1,Data!$K$3:$K$178,'Reporting 2022'!$B19)</f>
      </c>
      <c r="AY74" s="431">
        <f>SUMIFS(Data!$S$3:$S$178,Data!$N$3:$N$178,AY$1,Data!$K$3:$K$178,'Reporting 2022'!$B19)</f>
      </c>
      <c r="AZ74" s="431">
        <f>SUMIFS(Data!$S$3:$S$178,Data!$N$3:$N$178,AZ$1,Data!$K$3:$K$178,'Reporting 2022'!$B19)</f>
      </c>
      <c r="BA74" s="431">
        <f>SUMIFS(Data!$S$3:$S$178,Data!$N$3:$N$178,BA$1,Data!$K$3:$K$178,'Reporting 2022'!$B19)</f>
      </c>
      <c r="BB74" s="431">
        <f>SUMIFS(Data!$S$3:$S$178,Data!$N$3:$N$178,BB$1,Data!$K$3:$K$178,'Reporting 2022'!$B19)</f>
      </c>
      <c r="BC74" s="3"/>
      <c r="BD74" s="3"/>
      <c r="BE74" s="3"/>
    </row>
    <row x14ac:dyDescent="0.25" r="75" customHeight="1" ht="19.5">
      <c r="A75" s="3"/>
      <c r="B75" s="195" t="s">
        <v>495</v>
      </c>
      <c r="C75" s="431">
        <f>SUMIFS(Data!$S$3:$S$178,Data!$N$3:$N$178,C$1,Data!$K$3:$K$178,'Reporting 2022'!$B20)</f>
      </c>
      <c r="D75" s="431">
        <f>SUMIFS(Data!$S$3:$S$178,Data!$N$3:$N$178,D$1,Data!$K$3:$K$178,'Reporting 2022'!$B20)</f>
      </c>
      <c r="E75" s="431">
        <f>SUMIFS(Data!$S$3:$S$178,Data!$N$3:$N$178,E$1,Data!$K$3:$K$178,'Reporting 2022'!$B20)</f>
      </c>
      <c r="F75" s="431">
        <f>SUMIFS(Data!$S$3:$S$178,Data!$N$3:$N$178,F$1,Data!$K$3:$K$178,'Reporting 2022'!$B20)</f>
      </c>
      <c r="G75" s="431">
        <f>SUMIFS(Data!$S$3:$S$178,Data!$N$3:$N$178,G$1,Data!$K$3:$K$178,'Reporting 2022'!$B20)</f>
      </c>
      <c r="H75" s="431">
        <f>SUMIFS(Data!$S$3:$S$178,Data!$N$3:$N$178,H$1,Data!$K$3:$K$178,'Reporting 2022'!$B20)</f>
      </c>
      <c r="I75" s="431">
        <f>SUMIFS(Data!$S$3:$S$178,Data!$N$3:$N$178,I$1,Data!$K$3:$K$178,'Reporting 2022'!$B20)</f>
      </c>
      <c r="J75" s="431">
        <f>SUMIFS(Data!$S$3:$S$178,Data!$N$3:$N$178,J$1,Data!$K$3:$K$178,'Reporting 2022'!$B20)</f>
      </c>
      <c r="K75" s="431">
        <f>SUMIFS(Data!$S$3:$S$178,Data!$N$3:$N$178,K$1,Data!$K$3:$K$178,'Reporting 2022'!$B20)</f>
      </c>
      <c r="L75" s="431">
        <f>SUMIFS(Data!$S$3:$S$178,Data!$N$3:$N$178,L$1,Data!$K$3:$K$178,'Reporting 2022'!$B20)</f>
      </c>
      <c r="M75" s="431">
        <f>SUMIFS(Data!$S$3:$S$178,Data!$N$3:$N$178,M$1,Data!$K$3:$K$178,'Reporting 2022'!$B20)</f>
      </c>
      <c r="N75" s="431">
        <f>SUMIFS(Data!$S$3:$S$178,Data!$N$3:$N$178,N$1,Data!$K$3:$K$178,'Reporting 2022'!$B20)</f>
      </c>
      <c r="O75" s="431">
        <f>SUMIFS(Data!$S$3:$S$178,Data!$N$3:$N$178,O$1,Data!$K$3:$K$178,'Reporting 2022'!$B20)</f>
      </c>
      <c r="P75" s="431">
        <f>SUMIFS(Data!$S$3:$S$178,Data!$N$3:$N$178,P$1,Data!$K$3:$K$178,'Reporting 2022'!$B20)</f>
      </c>
      <c r="Q75" s="431">
        <f>SUMIFS(Data!$S$3:$S$178,Data!$N$3:$N$178,Q$1,Data!$K$3:$K$178,'Reporting 2022'!$B20)</f>
      </c>
      <c r="R75" s="431">
        <f>SUMIFS(Data!$S$3:$S$178,Data!$N$3:$N$178,R$1,Data!$K$3:$K$178,'Reporting 2022'!$B20)</f>
      </c>
      <c r="S75" s="431">
        <f>SUMIFS(Data!$S$3:$S$178,Data!$N$3:$N$178,S$1,Data!$K$3:$K$178,'Reporting 2022'!$B20)</f>
      </c>
      <c r="T75" s="431">
        <f>SUMIFS(Data!$S$3:$S$178,Data!$N$3:$N$178,T$1,Data!$K$3:$K$178,'Reporting 2022'!$B20)</f>
      </c>
      <c r="U75" s="431">
        <f>SUMIFS(Data!$S$3:$S$178,Data!$N$3:$N$178,U$1,Data!$K$3:$K$178,'Reporting 2022'!$B20)</f>
      </c>
      <c r="V75" s="431">
        <f>SUMIFS(Data!$S$3:$S$178,Data!$N$3:$N$178,V$1,Data!$K$3:$K$178,'Reporting 2022'!$B20)</f>
      </c>
      <c r="W75" s="431">
        <f>SUMIFS(Data!$S$3:$S$178,Data!$N$3:$N$178,W$1,Data!$K$3:$K$178,'Reporting 2022'!$B20)</f>
      </c>
      <c r="X75" s="431">
        <f>SUMIFS(Data!$S$3:$S$178,Data!$N$3:$N$178,X$1,Data!$K$3:$K$178,'Reporting 2022'!$B20)</f>
      </c>
      <c r="Y75" s="431">
        <f>SUMIFS(Data!$S$3:$S$178,Data!$N$3:$N$178,Y$1,Data!$K$3:$K$178,'Reporting 2022'!$B20)</f>
      </c>
      <c r="Z75" s="431">
        <f>SUMIFS(Data!$S$3:$S$178,Data!$N$3:$N$178,Z$1,Data!$K$3:$K$178,'Reporting 2022'!$B20)</f>
      </c>
      <c r="AA75" s="431">
        <f>SUMIFS(Data!$S$3:$S$178,Data!$N$3:$N$178,AA$1,Data!$K$3:$K$178,'Reporting 2022'!$B20)</f>
      </c>
      <c r="AB75" s="431">
        <f>SUMIFS(Data!$S$3:$S$178,Data!$N$3:$N$178,AB$1,Data!$K$3:$K$178,'Reporting 2022'!$B20)</f>
      </c>
      <c r="AC75" s="431">
        <f>SUMIFS(Data!$S$3:$S$178,Data!$N$3:$N$178,AC$1,Data!$K$3:$K$178,'Reporting 2022'!$B20)</f>
      </c>
      <c r="AD75" s="431">
        <f>SUMIFS(Data!$S$3:$S$178,Data!$N$3:$N$178,AD$1,Data!$K$3:$K$178,'Reporting 2022'!$B20)</f>
      </c>
      <c r="AE75" s="431">
        <f>SUMIFS(Data!$S$3:$S$178,Data!$N$3:$N$178,AE$1,Data!$K$3:$K$178,'Reporting 2022'!$B20)</f>
      </c>
      <c r="AF75" s="431">
        <f>SUMIFS(Data!$S$3:$S$178,Data!$N$3:$N$178,AF$1,Data!$K$3:$K$178,'Reporting 2022'!$B20)</f>
      </c>
      <c r="AG75" s="431">
        <f>SUMIFS(Data!$S$3:$S$178,Data!$N$3:$N$178,AG$1,Data!$K$3:$K$178,'Reporting 2022'!$B20)</f>
      </c>
      <c r="AH75" s="431">
        <f>SUMIFS(Data!$S$3:$S$178,Data!$N$3:$N$178,AH$1,Data!$K$3:$K$178,'Reporting 2022'!$B20)</f>
      </c>
      <c r="AI75" s="431">
        <f>SUMIFS(Data!$S$3:$S$178,Data!$N$3:$N$178,AI$1,Data!$K$3:$K$178,'Reporting 2022'!$B20)</f>
      </c>
      <c r="AJ75" s="431">
        <f>SUMIFS(Data!$S$3:$S$178,Data!$N$3:$N$178,AJ$1,Data!$K$3:$K$178,'Reporting 2022'!$B20)</f>
      </c>
      <c r="AK75" s="431">
        <f>SUMIFS(Data!$S$3:$S$178,Data!$N$3:$N$178,AK$1,Data!$K$3:$K$178,'Reporting 2022'!$B20)</f>
      </c>
      <c r="AL75" s="431">
        <f>SUMIFS(Data!$S$3:$S$178,Data!$N$3:$N$178,AL$1,Data!$K$3:$K$178,'Reporting 2022'!$B20)</f>
      </c>
      <c r="AM75" s="431">
        <f>SUMIFS(Data!$S$3:$S$178,Data!$N$3:$N$178,AM$1,Data!$K$3:$K$178,'Reporting 2022'!$B20)</f>
      </c>
      <c r="AN75" s="431">
        <f>SUMIFS(Data!$S$3:$S$178,Data!$N$3:$N$178,AN$1,Data!$K$3:$K$178,'Reporting 2022'!$B20)</f>
      </c>
      <c r="AO75" s="431">
        <f>SUMIFS(Data!$S$3:$S$178,Data!$N$3:$N$178,AO$1,Data!$K$3:$K$178,'Reporting 2022'!$B20)</f>
      </c>
      <c r="AP75" s="431">
        <f>SUMIFS(Data!$S$3:$S$178,Data!$N$3:$N$178,AP$1,Data!$K$3:$K$178,'Reporting 2022'!$B20)</f>
      </c>
      <c r="AQ75" s="431">
        <f>SUMIFS(Data!$S$3:$S$178,Data!$N$3:$N$178,AQ$1,Data!$K$3:$K$178,'Reporting 2022'!$B20)</f>
      </c>
      <c r="AR75" s="431">
        <f>SUMIFS(Data!$S$3:$S$178,Data!$N$3:$N$178,AR$1,Data!$K$3:$K$178,'Reporting 2022'!$B20)</f>
      </c>
      <c r="AS75" s="431">
        <f>SUMIFS(Data!$S$3:$S$178,Data!$N$3:$N$178,AS$1,Data!$K$3:$K$178,'Reporting 2022'!$B20)</f>
      </c>
      <c r="AT75" s="431">
        <f>SUMIFS(Data!$S$3:$S$178,Data!$N$3:$N$178,AT$1,Data!$K$3:$K$178,'Reporting 2022'!$B20)</f>
      </c>
      <c r="AU75" s="431">
        <f>SUMIFS(Data!$S$3:$S$178,Data!$N$3:$N$178,AU$1,Data!$K$3:$K$178,'Reporting 2022'!$B20)</f>
      </c>
      <c r="AV75" s="431">
        <f>SUMIFS(Data!$S$3:$S$178,Data!$N$3:$N$178,AV$1,Data!$K$3:$K$178,'Reporting 2022'!$B20)</f>
      </c>
      <c r="AW75" s="431">
        <f>SUMIFS(Data!$S$3:$S$178,Data!$N$3:$N$178,AW$1,Data!$K$3:$K$178,'Reporting 2022'!$B20)</f>
      </c>
      <c r="AX75" s="431">
        <f>SUMIFS(Data!$S$3:$S$178,Data!$N$3:$N$178,AX$1,Data!$K$3:$K$178,'Reporting 2022'!$B20)</f>
      </c>
      <c r="AY75" s="431">
        <f>SUMIFS(Data!$S$3:$S$178,Data!$N$3:$N$178,AY$1,Data!$K$3:$K$178,'Reporting 2022'!$B20)</f>
      </c>
      <c r="AZ75" s="431">
        <f>SUMIFS(Data!$S$3:$S$178,Data!$N$3:$N$178,AZ$1,Data!$K$3:$K$178,'Reporting 2022'!$B20)</f>
      </c>
      <c r="BA75" s="431">
        <f>SUMIFS(Data!$S$3:$S$178,Data!$N$3:$N$178,BA$1,Data!$K$3:$K$178,'Reporting 2022'!$B20)</f>
      </c>
      <c r="BB75" s="431">
        <f>SUMIFS(Data!$S$3:$S$178,Data!$N$3:$N$178,BB$1,Data!$K$3:$K$178,'Reporting 2022'!$B20)</f>
      </c>
      <c r="BC75" s="3"/>
      <c r="BD75" s="3"/>
      <c r="BE75" s="3"/>
    </row>
    <row x14ac:dyDescent="0.25" r="76" customHeight="1" ht="19.5">
      <c r="A76" s="3"/>
      <c r="B76" s="195" t="s">
        <v>496</v>
      </c>
      <c r="C76" s="431">
        <f>SUMIFS(Data!$S$3:$S$178,Data!$N$3:$N$178,C$1,Data!$K$3:$K$178,'Reporting 2022'!$B21)</f>
      </c>
      <c r="D76" s="431">
        <f>SUMIFS(Data!$S$3:$S$178,Data!$N$3:$N$178,D$1,Data!$K$3:$K$178,'Reporting 2022'!$B21)</f>
      </c>
      <c r="E76" s="431">
        <f>SUMIFS(Data!$S$3:$S$178,Data!$N$3:$N$178,E$1,Data!$K$3:$K$178,'Reporting 2022'!$B21)</f>
      </c>
      <c r="F76" s="431">
        <f>SUMIFS(Data!$S$3:$S$178,Data!$N$3:$N$178,F$1,Data!$K$3:$K$178,'Reporting 2022'!$B21)</f>
      </c>
      <c r="G76" s="431">
        <f>SUMIFS(Data!$S$3:$S$178,Data!$N$3:$N$178,G$1,Data!$K$3:$K$178,'Reporting 2022'!$B21)</f>
      </c>
      <c r="H76" s="431">
        <f>SUMIFS(Data!$S$3:$S$178,Data!$N$3:$N$178,H$1,Data!$K$3:$K$178,'Reporting 2022'!$B21)</f>
      </c>
      <c r="I76" s="431">
        <f>SUMIFS(Data!$S$3:$S$178,Data!$N$3:$N$178,I$1,Data!$K$3:$K$178,'Reporting 2022'!$B21)</f>
      </c>
      <c r="J76" s="431">
        <f>SUMIFS(Data!$S$3:$S$178,Data!$N$3:$N$178,J$1,Data!$K$3:$K$178,'Reporting 2022'!$B21)</f>
      </c>
      <c r="K76" s="431">
        <f>SUMIFS(Data!$S$3:$S$178,Data!$N$3:$N$178,K$1,Data!$K$3:$K$178,'Reporting 2022'!$B21)</f>
      </c>
      <c r="L76" s="431">
        <f>SUMIFS(Data!$S$3:$S$178,Data!$N$3:$N$178,L$1,Data!$K$3:$K$178,'Reporting 2022'!$B21)</f>
      </c>
      <c r="M76" s="431">
        <f>SUMIFS(Data!$S$3:$S$178,Data!$N$3:$N$178,M$1,Data!$K$3:$K$178,'Reporting 2022'!$B21)</f>
      </c>
      <c r="N76" s="431">
        <f>SUMIFS(Data!$S$3:$S$178,Data!$N$3:$N$178,N$1,Data!$K$3:$K$178,'Reporting 2022'!$B21)</f>
      </c>
      <c r="O76" s="431">
        <f>SUMIFS(Data!$S$3:$S$178,Data!$N$3:$N$178,O$1,Data!$K$3:$K$178,'Reporting 2022'!$B21)</f>
      </c>
      <c r="P76" s="431">
        <f>SUMIFS(Data!$S$3:$S$178,Data!$N$3:$N$178,P$1,Data!$K$3:$K$178,'Reporting 2022'!$B21)</f>
      </c>
      <c r="Q76" s="431">
        <f>SUMIFS(Data!$S$3:$S$178,Data!$N$3:$N$178,Q$1,Data!$K$3:$K$178,'Reporting 2022'!$B21)</f>
      </c>
      <c r="R76" s="431">
        <f>SUMIFS(Data!$S$3:$S$178,Data!$N$3:$N$178,R$1,Data!$K$3:$K$178,'Reporting 2022'!$B21)</f>
      </c>
      <c r="S76" s="431">
        <f>SUMIFS(Data!$S$3:$S$178,Data!$N$3:$N$178,S$1,Data!$K$3:$K$178,'Reporting 2022'!$B21)</f>
      </c>
      <c r="T76" s="431">
        <f>SUMIFS(Data!$S$3:$S$178,Data!$N$3:$N$178,T$1,Data!$K$3:$K$178,'Reporting 2022'!$B21)</f>
      </c>
      <c r="U76" s="431">
        <f>SUMIFS(Data!$S$3:$S$178,Data!$N$3:$N$178,U$1,Data!$K$3:$K$178,'Reporting 2022'!$B21)</f>
      </c>
      <c r="V76" s="431">
        <f>SUMIFS(Data!$S$3:$S$178,Data!$N$3:$N$178,V$1,Data!$K$3:$K$178,'Reporting 2022'!$B21)</f>
      </c>
      <c r="W76" s="431">
        <f>SUMIFS(Data!$S$3:$S$178,Data!$N$3:$N$178,W$1,Data!$K$3:$K$178,'Reporting 2022'!$B21)</f>
      </c>
      <c r="X76" s="431">
        <f>SUMIFS(Data!$S$3:$S$178,Data!$N$3:$N$178,X$1,Data!$K$3:$K$178,'Reporting 2022'!$B21)</f>
      </c>
      <c r="Y76" s="431">
        <f>SUMIFS(Data!$S$3:$S$178,Data!$N$3:$N$178,Y$1,Data!$K$3:$K$178,'Reporting 2022'!$B21)</f>
      </c>
      <c r="Z76" s="431">
        <f>SUMIFS(Data!$S$3:$S$178,Data!$N$3:$N$178,Z$1,Data!$K$3:$K$178,'Reporting 2022'!$B21)</f>
      </c>
      <c r="AA76" s="431">
        <f>SUMIFS(Data!$S$3:$S$178,Data!$N$3:$N$178,AA$1,Data!$K$3:$K$178,'Reporting 2022'!$B21)</f>
      </c>
      <c r="AB76" s="431">
        <f>SUMIFS(Data!$S$3:$S$178,Data!$N$3:$N$178,AB$1,Data!$K$3:$K$178,'Reporting 2022'!$B21)</f>
      </c>
      <c r="AC76" s="431">
        <f>SUMIFS(Data!$S$3:$S$178,Data!$N$3:$N$178,AC$1,Data!$K$3:$K$178,'Reporting 2022'!$B21)</f>
      </c>
      <c r="AD76" s="431">
        <f>SUMIFS(Data!$S$3:$S$178,Data!$N$3:$N$178,AD$1,Data!$K$3:$K$178,'Reporting 2022'!$B21)</f>
      </c>
      <c r="AE76" s="431">
        <f>SUMIFS(Data!$S$3:$S$178,Data!$N$3:$N$178,AE$1,Data!$K$3:$K$178,'Reporting 2022'!$B21)</f>
      </c>
      <c r="AF76" s="431">
        <f>SUMIFS(Data!$S$3:$S$178,Data!$N$3:$N$178,AF$1,Data!$K$3:$K$178,'Reporting 2022'!$B21)</f>
      </c>
      <c r="AG76" s="431">
        <f>SUMIFS(Data!$S$3:$S$178,Data!$N$3:$N$178,AG$1,Data!$K$3:$K$178,'Reporting 2022'!$B21)</f>
      </c>
      <c r="AH76" s="431">
        <f>SUMIFS(Data!$S$3:$S$178,Data!$N$3:$N$178,AH$1,Data!$K$3:$K$178,'Reporting 2022'!$B21)</f>
      </c>
      <c r="AI76" s="431">
        <f>SUMIFS(Data!$S$3:$S$178,Data!$N$3:$N$178,AI$1,Data!$K$3:$K$178,'Reporting 2022'!$B21)</f>
      </c>
      <c r="AJ76" s="431">
        <f>SUMIFS(Data!$S$3:$S$178,Data!$N$3:$N$178,AJ$1,Data!$K$3:$K$178,'Reporting 2022'!$B21)</f>
      </c>
      <c r="AK76" s="431">
        <f>SUMIFS(Data!$S$3:$S$178,Data!$N$3:$N$178,AK$1,Data!$K$3:$K$178,'Reporting 2022'!$B21)</f>
      </c>
      <c r="AL76" s="431">
        <f>SUMIFS(Data!$S$3:$S$178,Data!$N$3:$N$178,AL$1,Data!$K$3:$K$178,'Reporting 2022'!$B21)</f>
      </c>
      <c r="AM76" s="431">
        <f>SUMIFS(Data!$S$3:$S$178,Data!$N$3:$N$178,AM$1,Data!$K$3:$K$178,'Reporting 2022'!$B21)</f>
      </c>
      <c r="AN76" s="431">
        <f>SUMIFS(Data!$S$3:$S$178,Data!$N$3:$N$178,AN$1,Data!$K$3:$K$178,'Reporting 2022'!$B21)</f>
      </c>
      <c r="AO76" s="431">
        <f>SUMIFS(Data!$S$3:$S$178,Data!$N$3:$N$178,AO$1,Data!$K$3:$K$178,'Reporting 2022'!$B21)</f>
      </c>
      <c r="AP76" s="431">
        <f>SUMIFS(Data!$S$3:$S$178,Data!$N$3:$N$178,AP$1,Data!$K$3:$K$178,'Reporting 2022'!$B21)</f>
      </c>
      <c r="AQ76" s="431">
        <f>SUMIFS(Data!$S$3:$S$178,Data!$N$3:$N$178,AQ$1,Data!$K$3:$K$178,'Reporting 2022'!$B21)</f>
      </c>
      <c r="AR76" s="431">
        <f>SUMIFS(Data!$S$3:$S$178,Data!$N$3:$N$178,AR$1,Data!$K$3:$K$178,'Reporting 2022'!$B21)</f>
      </c>
      <c r="AS76" s="431">
        <f>SUMIFS(Data!$S$3:$S$178,Data!$N$3:$N$178,AS$1,Data!$K$3:$K$178,'Reporting 2022'!$B21)</f>
      </c>
      <c r="AT76" s="431">
        <f>SUMIFS(Data!$S$3:$S$178,Data!$N$3:$N$178,AT$1,Data!$K$3:$K$178,'Reporting 2022'!$B21)</f>
      </c>
      <c r="AU76" s="431">
        <f>SUMIFS(Data!$S$3:$S$178,Data!$N$3:$N$178,AU$1,Data!$K$3:$K$178,'Reporting 2022'!$B21)</f>
      </c>
      <c r="AV76" s="431">
        <f>SUMIFS(Data!$S$3:$S$178,Data!$N$3:$N$178,AV$1,Data!$K$3:$K$178,'Reporting 2022'!$B21)</f>
      </c>
      <c r="AW76" s="431">
        <f>SUMIFS(Data!$S$3:$S$178,Data!$N$3:$N$178,AW$1,Data!$K$3:$K$178,'Reporting 2022'!$B21)</f>
      </c>
      <c r="AX76" s="431">
        <f>SUMIFS(Data!$S$3:$S$178,Data!$N$3:$N$178,AX$1,Data!$K$3:$K$178,'Reporting 2022'!$B21)</f>
      </c>
      <c r="AY76" s="431">
        <f>SUMIFS(Data!$S$3:$S$178,Data!$N$3:$N$178,AY$1,Data!$K$3:$K$178,'Reporting 2022'!$B21)</f>
      </c>
      <c r="AZ76" s="431">
        <f>SUMIFS(Data!$S$3:$S$178,Data!$N$3:$N$178,AZ$1,Data!$K$3:$K$178,'Reporting 2022'!$B21)</f>
      </c>
      <c r="BA76" s="431">
        <f>SUMIFS(Data!$S$3:$S$178,Data!$N$3:$N$178,BA$1,Data!$K$3:$K$178,'Reporting 2022'!$B21)</f>
      </c>
      <c r="BB76" s="431">
        <f>SUMIFS(Data!$S$3:$S$178,Data!$N$3:$N$178,BB$1,Data!$K$3:$K$178,'Reporting 2022'!$B21)</f>
      </c>
      <c r="BC76" s="3"/>
      <c r="BD76" s="3"/>
      <c r="BE76" s="3"/>
    </row>
    <row x14ac:dyDescent="0.25" r="77" customHeight="1" ht="19.5">
      <c r="A77" s="3"/>
      <c r="B77" s="195" t="s">
        <v>497</v>
      </c>
      <c r="C77" s="431">
        <f>SUMIFS(Data!$S$3:$S$178,Data!$N$3:$N$178,C$1,Data!$K$3:$K$178,'Reporting 2022'!$B22)</f>
      </c>
      <c r="D77" s="431">
        <f>SUMIFS(Data!$S$3:$S$178,Data!$N$3:$N$178,D$1,Data!$K$3:$K$178,'Reporting 2022'!$B22)</f>
      </c>
      <c r="E77" s="431">
        <f>SUMIFS(Data!$S$3:$S$178,Data!$N$3:$N$178,E$1,Data!$K$3:$K$178,'Reporting 2022'!$B22)</f>
      </c>
      <c r="F77" s="431">
        <f>SUMIFS(Data!$S$3:$S$178,Data!$N$3:$N$178,F$1,Data!$K$3:$K$178,'Reporting 2022'!$B22)</f>
      </c>
      <c r="G77" s="431">
        <f>SUMIFS(Data!$S$3:$S$178,Data!$N$3:$N$178,G$1,Data!$K$3:$K$178,'Reporting 2022'!$B22)</f>
      </c>
      <c r="H77" s="431">
        <f>SUMIFS(Data!$S$3:$S$178,Data!$N$3:$N$178,H$1,Data!$K$3:$K$178,'Reporting 2022'!$B22)</f>
      </c>
      <c r="I77" s="431">
        <f>SUMIFS(Data!$S$3:$S$178,Data!$N$3:$N$178,I$1,Data!$K$3:$K$178,'Reporting 2022'!$B22)</f>
      </c>
      <c r="J77" s="431">
        <f>SUMIFS(Data!$S$3:$S$178,Data!$N$3:$N$178,J$1,Data!$K$3:$K$178,'Reporting 2022'!$B22)</f>
      </c>
      <c r="K77" s="431">
        <f>SUMIFS(Data!$S$3:$S$178,Data!$N$3:$N$178,K$1,Data!$K$3:$K$178,'Reporting 2022'!$B22)</f>
      </c>
      <c r="L77" s="431">
        <f>SUMIFS(Data!$S$3:$S$178,Data!$N$3:$N$178,L$1,Data!$K$3:$K$178,'Reporting 2022'!$B22)</f>
      </c>
      <c r="M77" s="431">
        <f>SUMIFS(Data!$S$3:$S$178,Data!$N$3:$N$178,M$1,Data!$K$3:$K$178,'Reporting 2022'!$B22)</f>
      </c>
      <c r="N77" s="431">
        <f>SUMIFS(Data!$S$3:$S$178,Data!$N$3:$N$178,N$1,Data!$K$3:$K$178,'Reporting 2022'!$B22)</f>
      </c>
      <c r="O77" s="431">
        <f>SUMIFS(Data!$S$3:$S$178,Data!$N$3:$N$178,O$1,Data!$K$3:$K$178,'Reporting 2022'!$B22)</f>
      </c>
      <c r="P77" s="431">
        <f>SUMIFS(Data!$S$3:$S$178,Data!$N$3:$N$178,P$1,Data!$K$3:$K$178,'Reporting 2022'!$B22)</f>
      </c>
      <c r="Q77" s="431">
        <f>SUMIFS(Data!$S$3:$S$178,Data!$N$3:$N$178,Q$1,Data!$K$3:$K$178,'Reporting 2022'!$B22)</f>
      </c>
      <c r="R77" s="431">
        <f>SUMIFS(Data!$S$3:$S$178,Data!$N$3:$N$178,R$1,Data!$K$3:$K$178,'Reporting 2022'!$B22)</f>
      </c>
      <c r="S77" s="431">
        <f>SUMIFS(Data!$S$3:$S$178,Data!$N$3:$N$178,S$1,Data!$K$3:$K$178,'Reporting 2022'!$B22)</f>
      </c>
      <c r="T77" s="431">
        <f>SUMIFS(Data!$S$3:$S$178,Data!$N$3:$N$178,T$1,Data!$K$3:$K$178,'Reporting 2022'!$B22)</f>
      </c>
      <c r="U77" s="431">
        <f>SUMIFS(Data!$S$3:$S$178,Data!$N$3:$N$178,U$1,Data!$K$3:$K$178,'Reporting 2022'!$B22)</f>
      </c>
      <c r="V77" s="431">
        <f>SUMIFS(Data!$S$3:$S$178,Data!$N$3:$N$178,V$1,Data!$K$3:$K$178,'Reporting 2022'!$B22)</f>
      </c>
      <c r="W77" s="431">
        <f>SUMIFS(Data!$S$3:$S$178,Data!$N$3:$N$178,W$1,Data!$K$3:$K$178,'Reporting 2022'!$B22)</f>
      </c>
      <c r="X77" s="431">
        <f>SUMIFS(Data!$S$3:$S$178,Data!$N$3:$N$178,X$1,Data!$K$3:$K$178,'Reporting 2022'!$B22)</f>
      </c>
      <c r="Y77" s="431">
        <f>SUMIFS(Data!$S$3:$S$178,Data!$N$3:$N$178,Y$1,Data!$K$3:$K$178,'Reporting 2022'!$B22)</f>
      </c>
      <c r="Z77" s="431">
        <f>SUMIFS(Data!$S$3:$S$178,Data!$N$3:$N$178,Z$1,Data!$K$3:$K$178,'Reporting 2022'!$B22)</f>
      </c>
      <c r="AA77" s="431">
        <f>SUMIFS(Data!$S$3:$S$178,Data!$N$3:$N$178,AA$1,Data!$K$3:$K$178,'Reporting 2022'!$B22)</f>
      </c>
      <c r="AB77" s="431">
        <f>SUMIFS(Data!$S$3:$S$178,Data!$N$3:$N$178,AB$1,Data!$K$3:$K$178,'Reporting 2022'!$B22)</f>
      </c>
      <c r="AC77" s="431">
        <f>SUMIFS(Data!$S$3:$S$178,Data!$N$3:$N$178,AC$1,Data!$K$3:$K$178,'Reporting 2022'!$B22)</f>
      </c>
      <c r="AD77" s="431">
        <f>SUMIFS(Data!$S$3:$S$178,Data!$N$3:$N$178,AD$1,Data!$K$3:$K$178,'Reporting 2022'!$B22)</f>
      </c>
      <c r="AE77" s="431">
        <f>SUMIFS(Data!$S$3:$S$178,Data!$N$3:$N$178,AE$1,Data!$K$3:$K$178,'Reporting 2022'!$B22)</f>
      </c>
      <c r="AF77" s="431">
        <f>SUMIFS(Data!$S$3:$S$178,Data!$N$3:$N$178,AF$1,Data!$K$3:$K$178,'Reporting 2022'!$B22)</f>
      </c>
      <c r="AG77" s="431">
        <f>SUMIFS(Data!$S$3:$S$178,Data!$N$3:$N$178,AG$1,Data!$K$3:$K$178,'Reporting 2022'!$B22)</f>
      </c>
      <c r="AH77" s="431">
        <f>SUMIFS(Data!$S$3:$S$178,Data!$N$3:$N$178,AH$1,Data!$K$3:$K$178,'Reporting 2022'!$B22)</f>
      </c>
      <c r="AI77" s="431">
        <f>SUMIFS(Data!$S$3:$S$178,Data!$N$3:$N$178,AI$1,Data!$K$3:$K$178,'Reporting 2022'!$B22)</f>
      </c>
      <c r="AJ77" s="431">
        <f>SUMIFS(Data!$S$3:$S$178,Data!$N$3:$N$178,AJ$1,Data!$K$3:$K$178,'Reporting 2022'!$B22)</f>
      </c>
      <c r="AK77" s="431">
        <f>SUMIFS(Data!$S$3:$S$178,Data!$N$3:$N$178,AK$1,Data!$K$3:$K$178,'Reporting 2022'!$B22)</f>
      </c>
      <c r="AL77" s="431">
        <f>SUMIFS(Data!$S$3:$S$178,Data!$N$3:$N$178,AL$1,Data!$K$3:$K$178,'Reporting 2022'!$B22)</f>
      </c>
      <c r="AM77" s="431">
        <f>SUMIFS(Data!$S$3:$S$178,Data!$N$3:$N$178,AM$1,Data!$K$3:$K$178,'Reporting 2022'!$B22)</f>
      </c>
      <c r="AN77" s="431">
        <f>SUMIFS(Data!$S$3:$S$178,Data!$N$3:$N$178,AN$1,Data!$K$3:$K$178,'Reporting 2022'!$B22)</f>
      </c>
      <c r="AO77" s="431">
        <f>SUMIFS(Data!$S$3:$S$178,Data!$N$3:$N$178,AO$1,Data!$K$3:$K$178,'Reporting 2022'!$B22)</f>
      </c>
      <c r="AP77" s="431">
        <f>SUMIFS(Data!$S$3:$S$178,Data!$N$3:$N$178,AP$1,Data!$K$3:$K$178,'Reporting 2022'!$B22)</f>
      </c>
      <c r="AQ77" s="431">
        <f>SUMIFS(Data!$S$3:$S$178,Data!$N$3:$N$178,AQ$1,Data!$K$3:$K$178,'Reporting 2022'!$B22)</f>
      </c>
      <c r="AR77" s="431">
        <f>SUMIFS(Data!$S$3:$S$178,Data!$N$3:$N$178,AR$1,Data!$K$3:$K$178,'Reporting 2022'!$B22)</f>
      </c>
      <c r="AS77" s="431">
        <f>SUMIFS(Data!$S$3:$S$178,Data!$N$3:$N$178,AS$1,Data!$K$3:$K$178,'Reporting 2022'!$B22)</f>
      </c>
      <c r="AT77" s="431">
        <f>SUMIFS(Data!$S$3:$S$178,Data!$N$3:$N$178,AT$1,Data!$K$3:$K$178,'Reporting 2022'!$B22)</f>
      </c>
      <c r="AU77" s="431">
        <f>SUMIFS(Data!$S$3:$S$178,Data!$N$3:$N$178,AU$1,Data!$K$3:$K$178,'Reporting 2022'!$B22)</f>
      </c>
      <c r="AV77" s="431">
        <f>SUMIFS(Data!$S$3:$S$178,Data!$N$3:$N$178,AV$1,Data!$K$3:$K$178,'Reporting 2022'!$B22)</f>
      </c>
      <c r="AW77" s="431">
        <f>SUMIFS(Data!$S$3:$S$178,Data!$N$3:$N$178,AW$1,Data!$K$3:$K$178,'Reporting 2022'!$B22)</f>
      </c>
      <c r="AX77" s="431">
        <f>SUMIFS(Data!$S$3:$S$178,Data!$N$3:$N$178,AX$1,Data!$K$3:$K$178,'Reporting 2022'!$B22)</f>
      </c>
      <c r="AY77" s="431">
        <f>SUMIFS(Data!$S$3:$S$178,Data!$N$3:$N$178,AY$1,Data!$K$3:$K$178,'Reporting 2022'!$B22)</f>
      </c>
      <c r="AZ77" s="431">
        <f>SUMIFS(Data!$S$3:$S$178,Data!$N$3:$N$178,AZ$1,Data!$K$3:$K$178,'Reporting 2022'!$B22)</f>
      </c>
      <c r="BA77" s="431">
        <f>SUMIFS(Data!$S$3:$S$178,Data!$N$3:$N$178,BA$1,Data!$K$3:$K$178,'Reporting 2022'!$B22)</f>
      </c>
      <c r="BB77" s="431">
        <f>SUMIFS(Data!$S$3:$S$178,Data!$N$3:$N$178,BB$1,Data!$K$3:$K$178,'Reporting 2022'!$B22)</f>
      </c>
      <c r="BC77" s="3"/>
      <c r="BD77" s="3"/>
      <c r="BE77" s="3"/>
    </row>
    <row x14ac:dyDescent="0.25" r="78" customHeight="1" ht="19.5">
      <c r="A78" s="3"/>
      <c r="B78" s="195" t="s">
        <v>498</v>
      </c>
      <c r="C78" s="431">
        <f>SUMIFS(Data!$S$3:$S$178,Data!$N$3:$N$178,C$1,Data!$K$3:$K$178,'Reporting 2022'!$B23)</f>
      </c>
      <c r="D78" s="431">
        <f>SUMIFS(Data!$S$3:$S$178,Data!$N$3:$N$178,D$1,Data!$K$3:$K$178,'Reporting 2022'!$B23)</f>
      </c>
      <c r="E78" s="431">
        <f>SUMIFS(Data!$S$3:$S$178,Data!$N$3:$N$178,E$1,Data!$K$3:$K$178,'Reporting 2022'!$B23)</f>
      </c>
      <c r="F78" s="431">
        <f>SUMIFS(Data!$S$3:$S$178,Data!$N$3:$N$178,F$1,Data!$K$3:$K$178,'Reporting 2022'!$B23)</f>
      </c>
      <c r="G78" s="431">
        <f>SUMIFS(Data!$S$3:$S$178,Data!$N$3:$N$178,G$1,Data!$K$3:$K$178,'Reporting 2022'!$B23)</f>
      </c>
      <c r="H78" s="431">
        <f>SUMIFS(Data!$S$3:$S$178,Data!$N$3:$N$178,H$1,Data!$K$3:$K$178,'Reporting 2022'!$B23)</f>
      </c>
      <c r="I78" s="431">
        <f>SUMIFS(Data!$S$3:$S$178,Data!$N$3:$N$178,I$1,Data!$K$3:$K$178,'Reporting 2022'!$B23)</f>
      </c>
      <c r="J78" s="431">
        <f>SUMIFS(Data!$S$3:$S$178,Data!$N$3:$N$178,J$1,Data!$K$3:$K$178,'Reporting 2022'!$B23)</f>
      </c>
      <c r="K78" s="431">
        <f>SUMIFS(Data!$S$3:$S$178,Data!$N$3:$N$178,K$1,Data!$K$3:$K$178,'Reporting 2022'!$B23)</f>
      </c>
      <c r="L78" s="431">
        <f>SUMIFS(Data!$S$3:$S$178,Data!$N$3:$N$178,L$1,Data!$K$3:$K$178,'Reporting 2022'!$B23)</f>
      </c>
      <c r="M78" s="431">
        <f>SUMIFS(Data!$S$3:$S$178,Data!$N$3:$N$178,M$1,Data!$K$3:$K$178,'Reporting 2022'!$B23)</f>
      </c>
      <c r="N78" s="431">
        <f>SUMIFS(Data!$S$3:$S$178,Data!$N$3:$N$178,N$1,Data!$K$3:$K$178,'Reporting 2022'!$B23)</f>
      </c>
      <c r="O78" s="431">
        <f>SUMIFS(Data!$S$3:$S$178,Data!$N$3:$N$178,O$1,Data!$K$3:$K$178,'Reporting 2022'!$B23)</f>
      </c>
      <c r="P78" s="431">
        <f>SUMIFS(Data!$S$3:$S$178,Data!$N$3:$N$178,P$1,Data!$K$3:$K$178,'Reporting 2022'!$B23)</f>
      </c>
      <c r="Q78" s="431">
        <f>SUMIFS(Data!$S$3:$S$178,Data!$N$3:$N$178,Q$1,Data!$K$3:$K$178,'Reporting 2022'!$B23)</f>
      </c>
      <c r="R78" s="431">
        <f>SUMIFS(Data!$S$3:$S$178,Data!$N$3:$N$178,R$1,Data!$K$3:$K$178,'Reporting 2022'!$B23)</f>
      </c>
      <c r="S78" s="431">
        <f>SUMIFS(Data!$S$3:$S$178,Data!$N$3:$N$178,S$1,Data!$K$3:$K$178,'Reporting 2022'!$B23)</f>
      </c>
      <c r="T78" s="431">
        <f>SUMIFS(Data!$S$3:$S$178,Data!$N$3:$N$178,T$1,Data!$K$3:$K$178,'Reporting 2022'!$B23)</f>
      </c>
      <c r="U78" s="431">
        <f>SUMIFS(Data!$S$3:$S$178,Data!$N$3:$N$178,U$1,Data!$K$3:$K$178,'Reporting 2022'!$B23)</f>
      </c>
      <c r="V78" s="431">
        <f>SUMIFS(Data!$S$3:$S$178,Data!$N$3:$N$178,V$1,Data!$K$3:$K$178,'Reporting 2022'!$B23)</f>
      </c>
      <c r="W78" s="431">
        <f>SUMIFS(Data!$S$3:$S$178,Data!$N$3:$N$178,W$1,Data!$K$3:$K$178,'Reporting 2022'!$B23)</f>
      </c>
      <c r="X78" s="431">
        <f>SUMIFS(Data!$S$3:$S$178,Data!$N$3:$N$178,X$1,Data!$K$3:$K$178,'Reporting 2022'!$B23)</f>
      </c>
      <c r="Y78" s="431">
        <f>SUMIFS(Data!$S$3:$S$178,Data!$N$3:$N$178,Y$1,Data!$K$3:$K$178,'Reporting 2022'!$B23)</f>
      </c>
      <c r="Z78" s="431">
        <f>SUMIFS(Data!$S$3:$S$178,Data!$N$3:$N$178,Z$1,Data!$K$3:$K$178,'Reporting 2022'!$B23)</f>
      </c>
      <c r="AA78" s="431">
        <f>SUMIFS(Data!$S$3:$S$178,Data!$N$3:$N$178,AA$1,Data!$K$3:$K$178,'Reporting 2022'!$B23)</f>
      </c>
      <c r="AB78" s="431">
        <f>SUMIFS(Data!$S$3:$S$178,Data!$N$3:$N$178,AB$1,Data!$K$3:$K$178,'Reporting 2022'!$B23)</f>
      </c>
      <c r="AC78" s="431">
        <f>SUMIFS(Data!$S$3:$S$178,Data!$N$3:$N$178,AC$1,Data!$K$3:$K$178,'Reporting 2022'!$B23)</f>
      </c>
      <c r="AD78" s="431">
        <f>SUMIFS(Data!$S$3:$S$178,Data!$N$3:$N$178,AD$1,Data!$K$3:$K$178,'Reporting 2022'!$B23)</f>
      </c>
      <c r="AE78" s="431">
        <f>SUMIFS(Data!$S$3:$S$178,Data!$N$3:$N$178,AE$1,Data!$K$3:$K$178,'Reporting 2022'!$B23)</f>
      </c>
      <c r="AF78" s="431">
        <f>SUMIFS(Data!$S$3:$S$178,Data!$N$3:$N$178,AF$1,Data!$K$3:$K$178,'Reporting 2022'!$B23)</f>
      </c>
      <c r="AG78" s="431">
        <f>SUMIFS(Data!$S$3:$S$178,Data!$N$3:$N$178,AG$1,Data!$K$3:$K$178,'Reporting 2022'!$B23)</f>
      </c>
      <c r="AH78" s="431">
        <f>SUMIFS(Data!$S$3:$S$178,Data!$N$3:$N$178,AH$1,Data!$K$3:$K$178,'Reporting 2022'!$B23)</f>
      </c>
      <c r="AI78" s="431">
        <f>SUMIFS(Data!$S$3:$S$178,Data!$N$3:$N$178,AI$1,Data!$K$3:$K$178,'Reporting 2022'!$B23)</f>
      </c>
      <c r="AJ78" s="431">
        <f>SUMIFS(Data!$S$3:$S$178,Data!$N$3:$N$178,AJ$1,Data!$K$3:$K$178,'Reporting 2022'!$B23)</f>
      </c>
      <c r="AK78" s="431">
        <f>SUMIFS(Data!$S$3:$S$178,Data!$N$3:$N$178,AK$1,Data!$K$3:$K$178,'Reporting 2022'!$B23)</f>
      </c>
      <c r="AL78" s="431">
        <f>SUMIFS(Data!$S$3:$S$178,Data!$N$3:$N$178,AL$1,Data!$K$3:$K$178,'Reporting 2022'!$B23)</f>
      </c>
      <c r="AM78" s="431">
        <f>SUMIFS(Data!$S$3:$S$178,Data!$N$3:$N$178,AM$1,Data!$K$3:$K$178,'Reporting 2022'!$B23)</f>
      </c>
      <c r="AN78" s="431">
        <f>SUMIFS(Data!$S$3:$S$178,Data!$N$3:$N$178,AN$1,Data!$K$3:$K$178,'Reporting 2022'!$B23)</f>
      </c>
      <c r="AO78" s="431">
        <f>SUMIFS(Data!$S$3:$S$178,Data!$N$3:$N$178,AO$1,Data!$K$3:$K$178,'Reporting 2022'!$B23)</f>
      </c>
      <c r="AP78" s="431">
        <f>SUMIFS(Data!$S$3:$S$178,Data!$N$3:$N$178,AP$1,Data!$K$3:$K$178,'Reporting 2022'!$B23)</f>
      </c>
      <c r="AQ78" s="431">
        <f>SUMIFS(Data!$S$3:$S$178,Data!$N$3:$N$178,AQ$1,Data!$K$3:$K$178,'Reporting 2022'!$B23)</f>
      </c>
      <c r="AR78" s="431">
        <f>SUMIFS(Data!$S$3:$S$178,Data!$N$3:$N$178,AR$1,Data!$K$3:$K$178,'Reporting 2022'!$B23)</f>
      </c>
      <c r="AS78" s="431">
        <f>SUMIFS(Data!$S$3:$S$178,Data!$N$3:$N$178,AS$1,Data!$K$3:$K$178,'Reporting 2022'!$B23)</f>
      </c>
      <c r="AT78" s="431">
        <f>SUMIFS(Data!$S$3:$S$178,Data!$N$3:$N$178,AT$1,Data!$K$3:$K$178,'Reporting 2022'!$B23)</f>
      </c>
      <c r="AU78" s="431">
        <f>SUMIFS(Data!$S$3:$S$178,Data!$N$3:$N$178,AU$1,Data!$K$3:$K$178,'Reporting 2022'!$B23)</f>
      </c>
      <c r="AV78" s="431">
        <f>SUMIFS(Data!$S$3:$S$178,Data!$N$3:$N$178,AV$1,Data!$K$3:$K$178,'Reporting 2022'!$B23)</f>
      </c>
      <c r="AW78" s="431">
        <f>SUMIFS(Data!$S$3:$S$178,Data!$N$3:$N$178,AW$1,Data!$K$3:$K$178,'Reporting 2022'!$B23)</f>
      </c>
      <c r="AX78" s="431">
        <f>SUMIFS(Data!$S$3:$S$178,Data!$N$3:$N$178,AX$1,Data!$K$3:$K$178,'Reporting 2022'!$B23)</f>
      </c>
      <c r="AY78" s="431">
        <f>SUMIFS(Data!$S$3:$S$178,Data!$N$3:$N$178,AY$1,Data!$K$3:$K$178,'Reporting 2022'!$B23)</f>
      </c>
      <c r="AZ78" s="431">
        <f>SUMIFS(Data!$S$3:$S$178,Data!$N$3:$N$178,AZ$1,Data!$K$3:$K$178,'Reporting 2022'!$B23)</f>
      </c>
      <c r="BA78" s="431">
        <f>SUMIFS(Data!$S$3:$S$178,Data!$N$3:$N$178,BA$1,Data!$K$3:$K$178,'Reporting 2022'!$B23)</f>
      </c>
      <c r="BB78" s="431">
        <f>SUMIFS(Data!$S$3:$S$178,Data!$N$3:$N$178,BB$1,Data!$K$3:$K$178,'Reporting 2022'!$B23)</f>
      </c>
      <c r="BC78" s="3"/>
      <c r="BD78" s="3"/>
      <c r="BE78" s="3"/>
    </row>
    <row x14ac:dyDescent="0.25" r="79" customHeight="1" ht="15">
      <c r="A79" s="3"/>
      <c r="B79" s="516" t="s">
        <v>499</v>
      </c>
      <c r="C79" s="434">
        <f>SUMIFS(Data!$S$3:$S$178,Data!$N$3:$N$178,C$1,Data!$K$3:$K$178,'Reporting 2022'!$B24)</f>
      </c>
      <c r="D79" s="434">
        <f>SUMIFS(Data!$S$3:$S$178,Data!$N$3:$N$178,D$1,Data!$K$3:$K$178,'Reporting 2022'!$B24)</f>
      </c>
      <c r="E79" s="434">
        <f>SUMIFS(Data!$S$3:$S$178,Data!$N$3:$N$178,E$1,Data!$K$3:$K$178,'Reporting 2022'!$B24)</f>
      </c>
      <c r="F79" s="434">
        <f>SUMIFS(Data!$S$3:$S$178,Data!$N$3:$N$178,F$1,Data!$K$3:$K$178,'Reporting 2022'!$B24)</f>
      </c>
      <c r="G79" s="434">
        <f>SUMIFS(Data!$S$3:$S$178,Data!$N$3:$N$178,G$1,Data!$K$3:$K$178,'Reporting 2022'!$B24)</f>
      </c>
      <c r="H79" s="434">
        <f>SUMIFS(Data!$S$3:$S$178,Data!$N$3:$N$178,H$1,Data!$K$3:$K$178,'Reporting 2022'!$B24)</f>
      </c>
      <c r="I79" s="434">
        <f>SUMIFS(Data!$S$3:$S$178,Data!$N$3:$N$178,I$1,Data!$K$3:$K$178,'Reporting 2022'!$B24)</f>
      </c>
      <c r="J79" s="434">
        <f>SUMIFS(Data!$S$3:$S$178,Data!$N$3:$N$178,J$1,Data!$K$3:$K$178,'Reporting 2022'!$B24)</f>
      </c>
      <c r="K79" s="434">
        <f>SUMIFS(Data!$S$3:$S$178,Data!$N$3:$N$178,K$1,Data!$K$3:$K$178,'Reporting 2022'!$B24)</f>
      </c>
      <c r="L79" s="434">
        <f>SUMIFS(Data!$S$3:$S$178,Data!$N$3:$N$178,L$1,Data!$K$3:$K$178,'Reporting 2022'!$B24)</f>
      </c>
      <c r="M79" s="434">
        <f>SUMIFS(Data!$S$3:$S$178,Data!$N$3:$N$178,M$1,Data!$K$3:$K$178,'Reporting 2022'!$B24)</f>
      </c>
      <c r="N79" s="434">
        <f>SUMIFS(Data!$S$3:$S$178,Data!$N$3:$N$178,N$1,Data!$K$3:$K$178,'Reporting 2022'!$B24)</f>
      </c>
      <c r="O79" s="434">
        <f>SUMIFS(Data!$S$3:$S$178,Data!$N$3:$N$178,O$1,Data!$K$3:$K$178,'Reporting 2022'!$B24)</f>
      </c>
      <c r="P79" s="434">
        <f>SUMIFS(Data!$S$3:$S$178,Data!$N$3:$N$178,P$1,Data!$K$3:$K$178,'Reporting 2022'!$B24)</f>
      </c>
      <c r="Q79" s="434">
        <f>SUMIFS(Data!$S$3:$S$178,Data!$N$3:$N$178,Q$1,Data!$K$3:$K$178,'Reporting 2022'!$B24)</f>
      </c>
      <c r="R79" s="434">
        <f>SUMIFS(Data!$S$3:$S$178,Data!$N$3:$N$178,R$1,Data!$K$3:$K$178,'Reporting 2022'!$B24)</f>
      </c>
      <c r="S79" s="434">
        <f>SUMIFS(Data!$S$3:$S$178,Data!$N$3:$N$178,S$1,Data!$K$3:$K$178,'Reporting 2022'!$B24)</f>
      </c>
      <c r="T79" s="434">
        <f>SUMIFS(Data!$S$3:$S$178,Data!$N$3:$N$178,T$1,Data!$K$3:$K$178,'Reporting 2022'!$B24)</f>
      </c>
      <c r="U79" s="434">
        <f>SUMIFS(Data!$S$3:$S$178,Data!$N$3:$N$178,U$1,Data!$K$3:$K$178,'Reporting 2022'!$B24)</f>
      </c>
      <c r="V79" s="434">
        <f>SUMIFS(Data!$S$3:$S$178,Data!$N$3:$N$178,V$1,Data!$K$3:$K$178,'Reporting 2022'!$B24)</f>
      </c>
      <c r="W79" s="434">
        <f>SUMIFS(Data!$S$3:$S$178,Data!$N$3:$N$178,W$1,Data!$K$3:$K$178,'Reporting 2022'!$B24)</f>
      </c>
      <c r="X79" s="434">
        <f>SUMIFS(Data!$S$3:$S$178,Data!$N$3:$N$178,X$1,Data!$K$3:$K$178,'Reporting 2022'!$B24)</f>
      </c>
      <c r="Y79" s="434">
        <f>SUMIFS(Data!$S$3:$S$178,Data!$N$3:$N$178,Y$1,Data!$K$3:$K$178,'Reporting 2022'!$B24)</f>
      </c>
      <c r="Z79" s="434">
        <f>SUMIFS(Data!$S$3:$S$178,Data!$N$3:$N$178,Z$1,Data!$K$3:$K$178,'Reporting 2022'!$B24)</f>
      </c>
      <c r="AA79" s="434">
        <f>SUMIFS(Data!$S$3:$S$178,Data!$N$3:$N$178,AA$1,Data!$K$3:$K$178,'Reporting 2022'!$B24)</f>
      </c>
      <c r="AB79" s="434">
        <f>SUMIFS(Data!$S$3:$S$178,Data!$N$3:$N$178,AB$1,Data!$K$3:$K$178,'Reporting 2022'!$B24)</f>
      </c>
      <c r="AC79" s="434">
        <f>SUMIFS(Data!$S$3:$S$178,Data!$N$3:$N$178,AC$1,Data!$K$3:$K$178,'Reporting 2022'!$B24)</f>
      </c>
      <c r="AD79" s="434">
        <f>SUMIFS(Data!$S$3:$S$178,Data!$N$3:$N$178,AD$1,Data!$K$3:$K$178,'Reporting 2022'!$B24)</f>
      </c>
      <c r="AE79" s="434">
        <f>SUMIFS(Data!$S$3:$S$178,Data!$N$3:$N$178,AE$1,Data!$K$3:$K$178,'Reporting 2022'!$B24)</f>
      </c>
      <c r="AF79" s="434">
        <f>SUMIFS(Data!$S$3:$S$178,Data!$N$3:$N$178,AF$1,Data!$K$3:$K$178,'Reporting 2022'!$B24)</f>
      </c>
      <c r="AG79" s="434">
        <f>SUMIFS(Data!$S$3:$S$178,Data!$N$3:$N$178,AG$1,Data!$K$3:$K$178,'Reporting 2022'!$B24)</f>
      </c>
      <c r="AH79" s="434">
        <f>SUMIFS(Data!$S$3:$S$178,Data!$N$3:$N$178,AH$1,Data!$K$3:$K$178,'Reporting 2022'!$B24)</f>
      </c>
      <c r="AI79" s="434">
        <f>SUMIFS(Data!$S$3:$S$178,Data!$N$3:$N$178,AI$1,Data!$K$3:$K$178,'Reporting 2022'!$B24)</f>
      </c>
      <c r="AJ79" s="434">
        <f>SUMIFS(Data!$S$3:$S$178,Data!$N$3:$N$178,AJ$1,Data!$K$3:$K$178,'Reporting 2022'!$B24)</f>
      </c>
      <c r="AK79" s="434">
        <f>SUMIFS(Data!$S$3:$S$178,Data!$N$3:$N$178,AK$1,Data!$K$3:$K$178,'Reporting 2022'!$B24)</f>
      </c>
      <c r="AL79" s="434">
        <f>SUMIFS(Data!$S$3:$S$178,Data!$N$3:$N$178,AL$1,Data!$K$3:$K$178,'Reporting 2022'!$B24)</f>
      </c>
      <c r="AM79" s="434">
        <f>SUMIFS(Data!$S$3:$S$178,Data!$N$3:$N$178,AM$1,Data!$K$3:$K$178,'Reporting 2022'!$B24)</f>
      </c>
      <c r="AN79" s="434">
        <f>SUMIFS(Data!$S$3:$S$178,Data!$N$3:$N$178,AN$1,Data!$K$3:$K$178,'Reporting 2022'!$B24)</f>
      </c>
      <c r="AO79" s="434">
        <f>SUMIFS(Data!$S$3:$S$178,Data!$N$3:$N$178,AO$1,Data!$K$3:$K$178,'Reporting 2022'!$B24)</f>
      </c>
      <c r="AP79" s="434">
        <f>SUMIFS(Data!$S$3:$S$178,Data!$N$3:$N$178,AP$1,Data!$K$3:$K$178,'Reporting 2022'!$B24)</f>
      </c>
      <c r="AQ79" s="434">
        <f>SUMIFS(Data!$S$3:$S$178,Data!$N$3:$N$178,AQ$1,Data!$K$3:$K$178,'Reporting 2022'!$B24)</f>
      </c>
      <c r="AR79" s="434">
        <f>SUMIFS(Data!$S$3:$S$178,Data!$N$3:$N$178,AR$1,Data!$K$3:$K$178,'Reporting 2022'!$B24)</f>
      </c>
      <c r="AS79" s="434">
        <f>SUMIFS(Data!$S$3:$S$178,Data!$N$3:$N$178,AS$1,Data!$K$3:$K$178,'Reporting 2022'!$B24)</f>
      </c>
      <c r="AT79" s="434">
        <f>SUMIFS(Data!$S$3:$S$178,Data!$N$3:$N$178,AT$1,Data!$K$3:$K$178,'Reporting 2022'!$B24)</f>
      </c>
      <c r="AU79" s="434">
        <f>SUMIFS(Data!$S$3:$S$178,Data!$N$3:$N$178,AU$1,Data!$K$3:$K$178,'Reporting 2022'!$B24)</f>
      </c>
      <c r="AV79" s="434">
        <f>SUMIFS(Data!$S$3:$S$178,Data!$N$3:$N$178,AV$1,Data!$K$3:$K$178,'Reporting 2022'!$B24)</f>
      </c>
      <c r="AW79" s="434">
        <f>SUMIFS(Data!$S$3:$S$178,Data!$N$3:$N$178,AW$1,Data!$K$3:$K$178,'Reporting 2022'!$B24)</f>
      </c>
      <c r="AX79" s="434">
        <f>SUMIFS(Data!$S$3:$S$178,Data!$N$3:$N$178,AX$1,Data!$K$3:$K$178,'Reporting 2022'!$B24)</f>
      </c>
      <c r="AY79" s="434">
        <f>SUMIFS(Data!$S$3:$S$178,Data!$N$3:$N$178,AY$1,Data!$K$3:$K$178,'Reporting 2022'!$B24)</f>
      </c>
      <c r="AZ79" s="434">
        <f>SUMIFS(Data!$S$3:$S$178,Data!$N$3:$N$178,AZ$1,Data!$K$3:$K$178,'Reporting 2022'!$B24)</f>
      </c>
      <c r="BA79" s="434">
        <f>SUMIFS(Data!$S$3:$S$178,Data!$N$3:$N$178,BA$1,Data!$K$3:$K$178,'Reporting 2022'!$B24)</f>
      </c>
      <c r="BB79" s="434">
        <f>SUMIFS(Data!$S$3:$S$178,Data!$N$3:$N$178,BB$1,Data!$K$3:$K$178,'Reporting 2022'!$B24)</f>
      </c>
      <c r="BC79" s="3"/>
      <c r="BD79" s="3"/>
      <c r="BE79" s="3"/>
    </row>
    <row x14ac:dyDescent="0.25" r="80" customHeight="1" ht="15">
      <c r="A80" s="3"/>
      <c r="B80" s="195" t="s">
        <v>500</v>
      </c>
      <c r="C80" s="435">
        <f>+C70</f>
      </c>
      <c r="D80" s="435">
        <f>C80+D70</f>
      </c>
      <c r="E80" s="435">
        <f>D80+E70</f>
      </c>
      <c r="F80" s="435">
        <f>E80+F70</f>
      </c>
      <c r="G80" s="435">
        <f>F80+G70</f>
      </c>
      <c r="H80" s="435">
        <f>G80+H70</f>
      </c>
      <c r="I80" s="435">
        <f>H80+I70</f>
      </c>
      <c r="J80" s="435">
        <f>I80+J70</f>
      </c>
      <c r="K80" s="435">
        <f>J80+K70</f>
      </c>
      <c r="L80" s="435">
        <f>K80+L70</f>
      </c>
      <c r="M80" s="435">
        <f>L80+M70</f>
      </c>
      <c r="N80" s="435">
        <f>M80+N70</f>
      </c>
      <c r="O80" s="435">
        <f>N80+O70</f>
      </c>
      <c r="P80" s="435">
        <f>O80+P70</f>
      </c>
      <c r="Q80" s="435">
        <f>P80+Q70</f>
      </c>
      <c r="R80" s="435">
        <f>Q80+R70</f>
      </c>
      <c r="S80" s="435">
        <f>R80+S70</f>
      </c>
      <c r="T80" s="435">
        <f>S80+T70</f>
      </c>
      <c r="U80" s="435">
        <f>T80+U70</f>
      </c>
      <c r="V80" s="435">
        <f>U80+V70</f>
      </c>
      <c r="W80" s="435">
        <f>V80+W70</f>
      </c>
      <c r="X80" s="435">
        <f>W80+X70</f>
      </c>
      <c r="Y80" s="435">
        <f>X80+Y70</f>
      </c>
      <c r="Z80" s="435">
        <f>Y80+Z70</f>
      </c>
      <c r="AA80" s="435">
        <f>Z80+AA70</f>
      </c>
      <c r="AB80" s="435">
        <f>AA80+AB70</f>
      </c>
      <c r="AC80" s="435">
        <f>AB80+AC70</f>
      </c>
      <c r="AD80" s="435">
        <f>AC80+AD70</f>
      </c>
      <c r="AE80" s="435">
        <f>AD80+AE70</f>
      </c>
      <c r="AF80" s="435">
        <f>AE80+AF70</f>
      </c>
      <c r="AG80" s="435">
        <f>AF80+AG70</f>
      </c>
      <c r="AH80" s="435">
        <f>AG80+AH70</f>
      </c>
      <c r="AI80" s="435">
        <f>AH80+AI70</f>
      </c>
      <c r="AJ80" s="435">
        <f>AI80+AJ70</f>
      </c>
      <c r="AK80" s="435">
        <f>AJ80+AK70</f>
      </c>
      <c r="AL80" s="435">
        <f>AK80+AL70</f>
      </c>
      <c r="AM80" s="435">
        <f>AL80+AM70</f>
      </c>
      <c r="AN80" s="435">
        <f>AM80+AN70</f>
      </c>
      <c r="AO80" s="435">
        <f>AN80+AO70</f>
      </c>
      <c r="AP80" s="435">
        <f>AO80+AP70</f>
      </c>
      <c r="AQ80" s="435">
        <f>AP80+AQ70</f>
      </c>
      <c r="AR80" s="435">
        <f>AQ80+AR70</f>
      </c>
      <c r="AS80" s="435">
        <f>AR80+AS70</f>
      </c>
      <c r="AT80" s="435">
        <f>AS80+AT70</f>
      </c>
      <c r="AU80" s="435">
        <f>AT80+AU70</f>
      </c>
      <c r="AV80" s="435">
        <f>AU80+AV70</f>
      </c>
      <c r="AW80" s="435">
        <f>AV80+AW70</f>
      </c>
      <c r="AX80" s="435">
        <f>AW80+AX70</f>
      </c>
      <c r="AY80" s="435">
        <f>AX80+AY70</f>
      </c>
      <c r="AZ80" s="435">
        <f>AY80+AZ70</f>
      </c>
      <c r="BA80" s="435">
        <f>AZ80+BA70</f>
      </c>
      <c r="BB80" s="435">
        <f>BA80+BB70</f>
      </c>
      <c r="BC80" s="3"/>
      <c r="BD80" s="3"/>
      <c r="BE80" s="3"/>
    </row>
    <row x14ac:dyDescent="0.25" r="81" customHeight="1" ht="19.5">
      <c r="A81" s="3"/>
      <c r="B81" s="195" t="s">
        <v>501</v>
      </c>
      <c r="C81" s="435">
        <f>+C71</f>
      </c>
      <c r="D81" s="435">
        <f>C81+D71</f>
      </c>
      <c r="E81" s="435">
        <f>D81+E71</f>
      </c>
      <c r="F81" s="435">
        <f>E81+F71</f>
      </c>
      <c r="G81" s="435">
        <f>F81+G71</f>
      </c>
      <c r="H81" s="435">
        <f>G81+H71</f>
      </c>
      <c r="I81" s="435">
        <f>H81+I71</f>
      </c>
      <c r="J81" s="435">
        <f>I81+J71</f>
      </c>
      <c r="K81" s="435">
        <f>J81+K71</f>
      </c>
      <c r="L81" s="435">
        <f>K81+L71</f>
      </c>
      <c r="M81" s="435">
        <f>L81+M71</f>
      </c>
      <c r="N81" s="435">
        <f>M81+N71</f>
      </c>
      <c r="O81" s="435">
        <f>N81+O71</f>
      </c>
      <c r="P81" s="435">
        <f>O81+P71</f>
      </c>
      <c r="Q81" s="435">
        <f>P81+Q71</f>
      </c>
      <c r="R81" s="435">
        <f>Q81+R71</f>
      </c>
      <c r="S81" s="435">
        <f>R81+S71</f>
      </c>
      <c r="T81" s="435">
        <f>S81+T71</f>
      </c>
      <c r="U81" s="435">
        <f>T81+U71</f>
      </c>
      <c r="V81" s="435">
        <f>U81+V71</f>
      </c>
      <c r="W81" s="435">
        <f>V81+W71</f>
      </c>
      <c r="X81" s="435">
        <f>W81+X71</f>
      </c>
      <c r="Y81" s="435">
        <f>X81+Y71</f>
      </c>
      <c r="Z81" s="435">
        <f>Y81+Z71</f>
      </c>
      <c r="AA81" s="435">
        <f>Z81+AA71</f>
      </c>
      <c r="AB81" s="435">
        <f>AA81+AB71</f>
      </c>
      <c r="AC81" s="435">
        <f>AB81+AC71</f>
      </c>
      <c r="AD81" s="435">
        <f>AC81+AD71</f>
      </c>
      <c r="AE81" s="435">
        <f>AD81+AE71</f>
      </c>
      <c r="AF81" s="435">
        <f>AE81+AF71</f>
      </c>
      <c r="AG81" s="435">
        <f>AF81+AG71</f>
      </c>
      <c r="AH81" s="435">
        <f>AG81+AH71</f>
      </c>
      <c r="AI81" s="435">
        <f>AH81+AI71</f>
      </c>
      <c r="AJ81" s="435">
        <f>AI81+AJ71</f>
      </c>
      <c r="AK81" s="435">
        <f>AJ81+AK71</f>
      </c>
      <c r="AL81" s="435">
        <f>AK81+AL71</f>
      </c>
      <c r="AM81" s="435">
        <f>AL81+AM71</f>
      </c>
      <c r="AN81" s="435">
        <f>AM81+AN71</f>
      </c>
      <c r="AO81" s="435">
        <f>AN81+AO71</f>
      </c>
      <c r="AP81" s="435">
        <f>AO81+AP71</f>
      </c>
      <c r="AQ81" s="435">
        <f>AP81+AQ71</f>
      </c>
      <c r="AR81" s="435">
        <f>AQ81+AR71</f>
      </c>
      <c r="AS81" s="435">
        <f>AR81+AS71</f>
      </c>
      <c r="AT81" s="435">
        <f>AS81+AT71</f>
      </c>
      <c r="AU81" s="435">
        <f>AT81+AU71</f>
      </c>
      <c r="AV81" s="435">
        <f>AU81+AV71</f>
      </c>
      <c r="AW81" s="435">
        <f>AV81+AW71</f>
      </c>
      <c r="AX81" s="435">
        <f>AW81+AX71</f>
      </c>
      <c r="AY81" s="435">
        <f>AX81+AY71</f>
      </c>
      <c r="AZ81" s="435">
        <f>AY81+AZ71</f>
      </c>
      <c r="BA81" s="435">
        <f>AZ81+BA71</f>
      </c>
      <c r="BB81" s="435">
        <f>BA81+BB71</f>
      </c>
      <c r="BC81" s="3"/>
      <c r="BD81" s="3"/>
      <c r="BE81" s="3"/>
    </row>
    <row x14ac:dyDescent="0.25" r="82" customHeight="1" ht="19.5">
      <c r="A82" s="3"/>
      <c r="B82" s="195" t="s">
        <v>502</v>
      </c>
      <c r="C82" s="435">
        <f>+C72</f>
      </c>
      <c r="D82" s="435">
        <f>C82+D72</f>
      </c>
      <c r="E82" s="435">
        <f>D82+E72</f>
      </c>
      <c r="F82" s="435">
        <f>E82+F72</f>
      </c>
      <c r="G82" s="435">
        <f>F82+G72</f>
      </c>
      <c r="H82" s="435">
        <f>G82+H72</f>
      </c>
      <c r="I82" s="435">
        <f>H82+I72</f>
      </c>
      <c r="J82" s="435">
        <f>I82+J72</f>
      </c>
      <c r="K82" s="435">
        <f>J82+K72</f>
      </c>
      <c r="L82" s="435">
        <f>K82+L72</f>
      </c>
      <c r="M82" s="435">
        <f>L82+M72</f>
      </c>
      <c r="N82" s="435">
        <f>M82+N72</f>
      </c>
      <c r="O82" s="435">
        <f>N82+O72</f>
      </c>
      <c r="P82" s="435">
        <f>O82+P72</f>
      </c>
      <c r="Q82" s="435">
        <f>P82+Q72</f>
      </c>
      <c r="R82" s="435">
        <f>Q82+R72</f>
      </c>
      <c r="S82" s="435">
        <f>R82+S72</f>
      </c>
      <c r="T82" s="435">
        <f>S82+T72</f>
      </c>
      <c r="U82" s="435">
        <f>T82+U72</f>
      </c>
      <c r="V82" s="435">
        <f>U82+V72</f>
      </c>
      <c r="W82" s="435">
        <f>V82+W72</f>
      </c>
      <c r="X82" s="435">
        <f>W82+X72</f>
      </c>
      <c r="Y82" s="435">
        <f>X82+Y72</f>
      </c>
      <c r="Z82" s="435">
        <f>Y82+Z72</f>
      </c>
      <c r="AA82" s="435">
        <f>Z82+AA72</f>
      </c>
      <c r="AB82" s="435">
        <f>AA82+AB72</f>
      </c>
      <c r="AC82" s="435">
        <f>AB82+AC72</f>
      </c>
      <c r="AD82" s="435">
        <f>AC82+AD72</f>
      </c>
      <c r="AE82" s="435">
        <f>AD82+AE72</f>
      </c>
      <c r="AF82" s="435">
        <f>AE82+AF72</f>
      </c>
      <c r="AG82" s="435">
        <f>AF82+AG72</f>
      </c>
      <c r="AH82" s="435">
        <f>AG82+AH72</f>
      </c>
      <c r="AI82" s="435">
        <f>AH82+AI72</f>
      </c>
      <c r="AJ82" s="435">
        <f>AI82+AJ72</f>
      </c>
      <c r="AK82" s="435">
        <f>AJ82+AK72</f>
      </c>
      <c r="AL82" s="435">
        <f>AK82+AL72</f>
      </c>
      <c r="AM82" s="435">
        <f>AL82+AM72</f>
      </c>
      <c r="AN82" s="435">
        <f>AM82+AN72</f>
      </c>
      <c r="AO82" s="435">
        <f>AN82+AO72</f>
      </c>
      <c r="AP82" s="435">
        <f>AO82+AP72</f>
      </c>
      <c r="AQ82" s="435">
        <f>AP82+AQ72</f>
      </c>
      <c r="AR82" s="435">
        <f>AQ82+AR72</f>
      </c>
      <c r="AS82" s="435">
        <f>AR82+AS72</f>
      </c>
      <c r="AT82" s="435">
        <f>AS82+AT72</f>
      </c>
      <c r="AU82" s="435">
        <f>AT82+AU72</f>
      </c>
      <c r="AV82" s="435">
        <f>AU82+AV72</f>
      </c>
      <c r="AW82" s="435">
        <f>AV82+AW72</f>
      </c>
      <c r="AX82" s="435">
        <f>AW82+AX72</f>
      </c>
      <c r="AY82" s="435">
        <f>AX82+AY72</f>
      </c>
      <c r="AZ82" s="435">
        <f>AY82+AZ72</f>
      </c>
      <c r="BA82" s="435">
        <f>AZ82+BA72</f>
      </c>
      <c r="BB82" s="435">
        <f>BA82+BB72</f>
      </c>
      <c r="BC82" s="3"/>
      <c r="BD82" s="3"/>
      <c r="BE82" s="3"/>
    </row>
    <row x14ac:dyDescent="0.25" r="83" customHeight="1" ht="19.5">
      <c r="A83" s="3"/>
      <c r="B83" s="195" t="s">
        <v>503</v>
      </c>
      <c r="C83" s="435">
        <f>+C73</f>
      </c>
      <c r="D83" s="435">
        <f>C83+D73</f>
      </c>
      <c r="E83" s="435">
        <f>D83+E73</f>
      </c>
      <c r="F83" s="435">
        <f>E83+F73</f>
      </c>
      <c r="G83" s="435">
        <f>F83+G73</f>
      </c>
      <c r="H83" s="435">
        <f>G83+H73</f>
      </c>
      <c r="I83" s="435">
        <f>H83+I73</f>
      </c>
      <c r="J83" s="435">
        <f>I83+J73</f>
      </c>
      <c r="K83" s="435">
        <f>J83+K73</f>
      </c>
      <c r="L83" s="435">
        <f>K83+L73</f>
      </c>
      <c r="M83" s="435">
        <f>L83+M73</f>
      </c>
      <c r="N83" s="435">
        <f>M83+N73</f>
      </c>
      <c r="O83" s="435">
        <f>N83+O73</f>
      </c>
      <c r="P83" s="435">
        <f>O83+P73</f>
      </c>
      <c r="Q83" s="435">
        <f>P83+Q73</f>
      </c>
      <c r="R83" s="435">
        <f>Q83+R73</f>
      </c>
      <c r="S83" s="435">
        <f>R83+S73</f>
      </c>
      <c r="T83" s="435">
        <f>S83+T73</f>
      </c>
      <c r="U83" s="435">
        <f>T83+U73</f>
      </c>
      <c r="V83" s="435">
        <f>U83+V73</f>
      </c>
      <c r="W83" s="435">
        <f>V83+W73</f>
      </c>
      <c r="X83" s="435">
        <f>W83+X73</f>
      </c>
      <c r="Y83" s="435">
        <f>X83+Y73</f>
      </c>
      <c r="Z83" s="435">
        <f>Y83+Z73</f>
      </c>
      <c r="AA83" s="435">
        <f>Z83+AA73</f>
      </c>
      <c r="AB83" s="435">
        <f>AA83+AB73</f>
      </c>
      <c r="AC83" s="435">
        <f>AB83+AC73</f>
      </c>
      <c r="AD83" s="435">
        <f>AC83+AD73</f>
      </c>
      <c r="AE83" s="435">
        <f>AD83+AE73</f>
      </c>
      <c r="AF83" s="435">
        <f>AE83+AF73</f>
      </c>
      <c r="AG83" s="435">
        <f>AF83+AG73</f>
      </c>
      <c r="AH83" s="435">
        <f>AG83+AH73</f>
      </c>
      <c r="AI83" s="435">
        <f>AH83+AI73</f>
      </c>
      <c r="AJ83" s="435">
        <f>AI83+AJ73</f>
      </c>
      <c r="AK83" s="435">
        <f>AJ83+AK73</f>
      </c>
      <c r="AL83" s="435">
        <f>AK83+AL73</f>
      </c>
      <c r="AM83" s="435">
        <f>AL83+AM73</f>
      </c>
      <c r="AN83" s="435">
        <f>AM83+AN73</f>
      </c>
      <c r="AO83" s="435">
        <f>AN83+AO73</f>
      </c>
      <c r="AP83" s="435">
        <f>AO83+AP73</f>
      </c>
      <c r="AQ83" s="435">
        <f>AP83+AQ73</f>
      </c>
      <c r="AR83" s="435">
        <f>AQ83+AR73</f>
      </c>
      <c r="AS83" s="435">
        <f>AR83+AS73</f>
      </c>
      <c r="AT83" s="435">
        <f>AS83+AT73</f>
      </c>
      <c r="AU83" s="435">
        <f>AT83+AU73</f>
      </c>
      <c r="AV83" s="435">
        <f>AU83+AV73</f>
      </c>
      <c r="AW83" s="435">
        <f>AV83+AW73</f>
      </c>
      <c r="AX83" s="435">
        <f>AW83+AX73</f>
      </c>
      <c r="AY83" s="435">
        <f>AX83+AY73</f>
      </c>
      <c r="AZ83" s="435">
        <f>AY83+AZ73</f>
      </c>
      <c r="BA83" s="435">
        <f>AZ83+BA73</f>
      </c>
      <c r="BB83" s="435">
        <f>BA83+BB73</f>
      </c>
      <c r="BC83" s="3"/>
      <c r="BD83" s="3"/>
      <c r="BE83" s="3"/>
    </row>
    <row x14ac:dyDescent="0.25" r="84" customHeight="1" ht="19.5">
      <c r="A84" s="3"/>
      <c r="B84" s="195" t="s">
        <v>504</v>
      </c>
      <c r="C84" s="435">
        <f>+C74</f>
      </c>
      <c r="D84" s="435">
        <f>C84+D74</f>
      </c>
      <c r="E84" s="435">
        <f>D84+E74</f>
      </c>
      <c r="F84" s="435">
        <f>E84+F74</f>
      </c>
      <c r="G84" s="435">
        <f>F84+G74</f>
      </c>
      <c r="H84" s="435">
        <f>G84+H74</f>
      </c>
      <c r="I84" s="435">
        <f>H84+I74</f>
      </c>
      <c r="J84" s="435">
        <f>I84+J74</f>
      </c>
      <c r="K84" s="435">
        <f>J84+K74</f>
      </c>
      <c r="L84" s="435">
        <f>K84+L74</f>
      </c>
      <c r="M84" s="435">
        <f>L84+M74</f>
      </c>
      <c r="N84" s="435">
        <f>M84+N74</f>
      </c>
      <c r="O84" s="435">
        <f>N84+O74</f>
      </c>
      <c r="P84" s="435">
        <f>O84+P74</f>
      </c>
      <c r="Q84" s="435">
        <f>P84+Q74</f>
      </c>
      <c r="R84" s="435">
        <f>Q84+R74</f>
      </c>
      <c r="S84" s="435">
        <f>R84+S74</f>
      </c>
      <c r="T84" s="435">
        <f>S84+T74</f>
      </c>
      <c r="U84" s="435">
        <f>T84+U74</f>
      </c>
      <c r="V84" s="435">
        <f>U84+V74</f>
      </c>
      <c r="W84" s="435">
        <f>V84+W74</f>
      </c>
      <c r="X84" s="435">
        <f>W84+X74</f>
      </c>
      <c r="Y84" s="435">
        <f>X84+Y74</f>
      </c>
      <c r="Z84" s="435">
        <f>Y84+Z74</f>
      </c>
      <c r="AA84" s="435">
        <f>Z84+AA74</f>
      </c>
      <c r="AB84" s="435">
        <f>AA84+AB74</f>
      </c>
      <c r="AC84" s="435">
        <f>AB84+AC74</f>
      </c>
      <c r="AD84" s="435">
        <f>AC84+AD74</f>
      </c>
      <c r="AE84" s="435">
        <f>AD84+AE74</f>
      </c>
      <c r="AF84" s="435">
        <f>AE84+AF74</f>
      </c>
      <c r="AG84" s="435">
        <f>AF84+AG74</f>
      </c>
      <c r="AH84" s="435">
        <f>AG84+AH74</f>
      </c>
      <c r="AI84" s="435">
        <f>AH84+AI74</f>
      </c>
      <c r="AJ84" s="435">
        <f>AI84+AJ74</f>
      </c>
      <c r="AK84" s="435">
        <f>AJ84+AK74</f>
      </c>
      <c r="AL84" s="435">
        <f>AK84+AL74</f>
      </c>
      <c r="AM84" s="435">
        <f>AL84+AM74</f>
      </c>
      <c r="AN84" s="435">
        <f>AM84+AN74</f>
      </c>
      <c r="AO84" s="435">
        <f>AN84+AO74</f>
      </c>
      <c r="AP84" s="435">
        <f>AO84+AP74</f>
      </c>
      <c r="AQ84" s="435">
        <f>AP84+AQ74</f>
      </c>
      <c r="AR84" s="435">
        <f>AQ84+AR74</f>
      </c>
      <c r="AS84" s="435">
        <f>AR84+AS74</f>
      </c>
      <c r="AT84" s="435">
        <f>AS84+AT74</f>
      </c>
      <c r="AU84" s="435">
        <f>AT84+AU74</f>
      </c>
      <c r="AV84" s="435">
        <f>AU84+AV74</f>
      </c>
      <c r="AW84" s="435">
        <f>AV84+AW74</f>
      </c>
      <c r="AX84" s="435">
        <f>AW84+AX74</f>
      </c>
      <c r="AY84" s="435">
        <f>AX84+AY74</f>
      </c>
      <c r="AZ84" s="435">
        <f>AY84+AZ74</f>
      </c>
      <c r="BA84" s="435">
        <f>AZ84+BA74</f>
      </c>
      <c r="BB84" s="435">
        <f>BA84+BB74</f>
      </c>
      <c r="BC84" s="3"/>
      <c r="BD84" s="3"/>
      <c r="BE84" s="3"/>
    </row>
    <row x14ac:dyDescent="0.25" r="85" customHeight="1" ht="19.5">
      <c r="A85" s="3"/>
      <c r="B85" s="195" t="s">
        <v>505</v>
      </c>
      <c r="C85" s="435">
        <f>+C75</f>
      </c>
      <c r="D85" s="435">
        <f>C85+D75</f>
      </c>
      <c r="E85" s="435">
        <f>D85+E75</f>
      </c>
      <c r="F85" s="435">
        <f>E85+F75</f>
      </c>
      <c r="G85" s="435">
        <f>F85+G75</f>
      </c>
      <c r="H85" s="435">
        <f>G85+H75</f>
      </c>
      <c r="I85" s="435">
        <f>H85+I75</f>
      </c>
      <c r="J85" s="435">
        <f>I85+J75</f>
      </c>
      <c r="K85" s="435">
        <f>J85+K75</f>
      </c>
      <c r="L85" s="435">
        <f>K85+L75</f>
      </c>
      <c r="M85" s="435">
        <f>L85+M75</f>
      </c>
      <c r="N85" s="435">
        <f>M85+N75</f>
      </c>
      <c r="O85" s="435">
        <f>N85+O75</f>
      </c>
      <c r="P85" s="435">
        <f>O85+P75</f>
      </c>
      <c r="Q85" s="435">
        <f>P85+Q75</f>
      </c>
      <c r="R85" s="435">
        <f>Q85+R75</f>
      </c>
      <c r="S85" s="435">
        <f>R85+S75</f>
      </c>
      <c r="T85" s="435">
        <f>S85+T75</f>
      </c>
      <c r="U85" s="435">
        <f>T85+U75</f>
      </c>
      <c r="V85" s="435">
        <f>U85+V75</f>
      </c>
      <c r="W85" s="435">
        <f>V85+W75</f>
      </c>
      <c r="X85" s="435">
        <f>W85+X75</f>
      </c>
      <c r="Y85" s="435">
        <f>X85+Y75</f>
      </c>
      <c r="Z85" s="435">
        <f>Y85+Z75</f>
      </c>
      <c r="AA85" s="435">
        <f>Z85+AA75</f>
      </c>
      <c r="AB85" s="435">
        <f>AA85+AB75</f>
      </c>
      <c r="AC85" s="435">
        <f>AB85+AC75</f>
      </c>
      <c r="AD85" s="435">
        <f>AC85+AD75</f>
      </c>
      <c r="AE85" s="435">
        <f>AD85+AE75</f>
      </c>
      <c r="AF85" s="435">
        <f>AE85+AF75</f>
      </c>
      <c r="AG85" s="435">
        <f>AF85+AG75</f>
      </c>
      <c r="AH85" s="435">
        <f>AG85+AH75</f>
      </c>
      <c r="AI85" s="435">
        <f>AH85+AI75</f>
      </c>
      <c r="AJ85" s="435">
        <f>AI85+AJ75</f>
      </c>
      <c r="AK85" s="435">
        <f>AJ85+AK75</f>
      </c>
      <c r="AL85" s="435">
        <f>AK85+AL75</f>
      </c>
      <c r="AM85" s="435">
        <f>AL85+AM75</f>
      </c>
      <c r="AN85" s="435">
        <f>AM85+AN75</f>
      </c>
      <c r="AO85" s="435">
        <f>AN85+AO75</f>
      </c>
      <c r="AP85" s="435">
        <f>AO85+AP75</f>
      </c>
      <c r="AQ85" s="435">
        <f>AP85+AQ75</f>
      </c>
      <c r="AR85" s="435">
        <f>AQ85+AR75</f>
      </c>
      <c r="AS85" s="435">
        <f>AR85+AS75</f>
      </c>
      <c r="AT85" s="435">
        <f>AS85+AT75</f>
      </c>
      <c r="AU85" s="435">
        <f>AT85+AU75</f>
      </c>
      <c r="AV85" s="435">
        <f>AU85+AV75</f>
      </c>
      <c r="AW85" s="435">
        <f>AV85+AW75</f>
      </c>
      <c r="AX85" s="435">
        <f>AW85+AX75</f>
      </c>
      <c r="AY85" s="435">
        <f>AX85+AY75</f>
      </c>
      <c r="AZ85" s="435">
        <f>AY85+AZ75</f>
      </c>
      <c r="BA85" s="435">
        <f>AZ85+BA75</f>
      </c>
      <c r="BB85" s="435">
        <f>BA85+BB75</f>
      </c>
      <c r="BC85" s="3"/>
      <c r="BD85" s="3"/>
      <c r="BE85" s="3"/>
    </row>
    <row x14ac:dyDescent="0.25" r="86" customHeight="1" ht="19.5">
      <c r="A86" s="3"/>
      <c r="B86" s="195" t="s">
        <v>506</v>
      </c>
      <c r="C86" s="435">
        <f>+C76</f>
      </c>
      <c r="D86" s="435">
        <f>C86+D76</f>
      </c>
      <c r="E86" s="435">
        <f>D86+E76</f>
      </c>
      <c r="F86" s="435">
        <f>E86+F76</f>
      </c>
      <c r="G86" s="435">
        <f>F86+G76</f>
      </c>
      <c r="H86" s="435">
        <f>G86+H76</f>
      </c>
      <c r="I86" s="435">
        <f>H86+I76</f>
      </c>
      <c r="J86" s="435">
        <f>I86+J76</f>
      </c>
      <c r="K86" s="435">
        <f>J86+K76</f>
      </c>
      <c r="L86" s="435">
        <f>K86+L76</f>
      </c>
      <c r="M86" s="435">
        <f>L86+M76</f>
      </c>
      <c r="N86" s="435">
        <f>M86+N76</f>
      </c>
      <c r="O86" s="435">
        <f>N86+O76</f>
      </c>
      <c r="P86" s="435">
        <f>O86+P76</f>
      </c>
      <c r="Q86" s="435">
        <f>P86+Q76</f>
      </c>
      <c r="R86" s="435">
        <f>Q86+R76</f>
      </c>
      <c r="S86" s="435">
        <f>R86+S76</f>
      </c>
      <c r="T86" s="435">
        <f>S86+T76</f>
      </c>
      <c r="U86" s="435">
        <f>T86+U76</f>
      </c>
      <c r="V86" s="435">
        <f>U86+V76</f>
      </c>
      <c r="W86" s="435">
        <f>V86+W76</f>
      </c>
      <c r="X86" s="435">
        <f>W86+X76</f>
      </c>
      <c r="Y86" s="435">
        <f>X86+Y76</f>
      </c>
      <c r="Z86" s="435">
        <f>Y86+Z76</f>
      </c>
      <c r="AA86" s="435">
        <f>Z86+AA76</f>
      </c>
      <c r="AB86" s="435">
        <f>AA86+AB76</f>
      </c>
      <c r="AC86" s="435">
        <f>AB86+AC76</f>
      </c>
      <c r="AD86" s="435">
        <f>AC86+AD76</f>
      </c>
      <c r="AE86" s="435">
        <f>AD86+AE76</f>
      </c>
      <c r="AF86" s="435">
        <f>AE86+AF76</f>
      </c>
      <c r="AG86" s="435">
        <f>AF86+AG76</f>
      </c>
      <c r="AH86" s="435">
        <f>AG86+AH76</f>
      </c>
      <c r="AI86" s="435">
        <f>AH86+AI76</f>
      </c>
      <c r="AJ86" s="435">
        <f>AI86+AJ76</f>
      </c>
      <c r="AK86" s="435">
        <f>AJ86+AK76</f>
      </c>
      <c r="AL86" s="435">
        <f>AK86+AL76</f>
      </c>
      <c r="AM86" s="435">
        <f>AL86+AM76</f>
      </c>
      <c r="AN86" s="435">
        <f>AM86+AN76</f>
      </c>
      <c r="AO86" s="435">
        <f>AN86+AO76</f>
      </c>
      <c r="AP86" s="435">
        <f>AO86+AP76</f>
      </c>
      <c r="AQ86" s="435">
        <f>AP86+AQ76</f>
      </c>
      <c r="AR86" s="435">
        <f>AQ86+AR76</f>
      </c>
      <c r="AS86" s="435">
        <f>AR86+AS76</f>
      </c>
      <c r="AT86" s="435">
        <f>AS86+AT76</f>
      </c>
      <c r="AU86" s="435">
        <f>AT86+AU76</f>
      </c>
      <c r="AV86" s="435">
        <f>AU86+AV76</f>
      </c>
      <c r="AW86" s="435">
        <f>AV86+AW76</f>
      </c>
      <c r="AX86" s="435">
        <f>AW86+AX76</f>
      </c>
      <c r="AY86" s="435">
        <f>AX86+AY76</f>
      </c>
      <c r="AZ86" s="435">
        <f>AY86+AZ76</f>
      </c>
      <c r="BA86" s="435">
        <f>AZ86+BA76</f>
      </c>
      <c r="BB86" s="435">
        <f>BA86+BB76</f>
      </c>
      <c r="BC86" s="3"/>
      <c r="BD86" s="3"/>
      <c r="BE86" s="3"/>
    </row>
    <row x14ac:dyDescent="0.25" r="87" customHeight="1" ht="19.5">
      <c r="A87" s="3"/>
      <c r="B87" s="195" t="s">
        <v>507</v>
      </c>
      <c r="C87" s="435">
        <f>+C77</f>
      </c>
      <c r="D87" s="435">
        <f>C87+D77</f>
      </c>
      <c r="E87" s="435">
        <f>D87+E77</f>
      </c>
      <c r="F87" s="435">
        <f>E87+F77</f>
      </c>
      <c r="G87" s="435">
        <f>F87+G77</f>
      </c>
      <c r="H87" s="435">
        <f>G87+H77</f>
      </c>
      <c r="I87" s="435">
        <f>H87+I77</f>
      </c>
      <c r="J87" s="435">
        <f>I87+J77</f>
      </c>
      <c r="K87" s="435">
        <f>J87+K77</f>
      </c>
      <c r="L87" s="435">
        <f>K87+L77</f>
      </c>
      <c r="M87" s="435">
        <f>L87+M77</f>
      </c>
      <c r="N87" s="435">
        <f>M87+N77</f>
      </c>
      <c r="O87" s="435">
        <f>N87+O77</f>
      </c>
      <c r="P87" s="435">
        <f>O87+P77</f>
      </c>
      <c r="Q87" s="435">
        <f>P87+Q77</f>
      </c>
      <c r="R87" s="435">
        <f>Q87+R77</f>
      </c>
      <c r="S87" s="435">
        <f>R87+S77</f>
      </c>
      <c r="T87" s="435">
        <f>S87+T77</f>
      </c>
      <c r="U87" s="435">
        <f>T87+U77</f>
      </c>
      <c r="V87" s="435">
        <f>U87+V77</f>
      </c>
      <c r="W87" s="435">
        <f>V87+W77</f>
      </c>
      <c r="X87" s="435">
        <f>W87+X77</f>
      </c>
      <c r="Y87" s="435">
        <f>X87+Y77</f>
      </c>
      <c r="Z87" s="435">
        <f>Y87+Z77</f>
      </c>
      <c r="AA87" s="435">
        <f>Z87+AA77</f>
      </c>
      <c r="AB87" s="435">
        <f>AA87+AB77</f>
      </c>
      <c r="AC87" s="435">
        <f>AB87+AC77</f>
      </c>
      <c r="AD87" s="435">
        <f>AC87+AD77</f>
      </c>
      <c r="AE87" s="435">
        <f>AD87+AE77</f>
      </c>
      <c r="AF87" s="435">
        <f>AE87+AF77</f>
      </c>
      <c r="AG87" s="435">
        <f>AF87+AG77</f>
      </c>
      <c r="AH87" s="435">
        <f>AG87+AH77</f>
      </c>
      <c r="AI87" s="435">
        <f>AH87+AI77</f>
      </c>
      <c r="AJ87" s="435">
        <f>AI87+AJ77</f>
      </c>
      <c r="AK87" s="435">
        <f>AJ87+AK77</f>
      </c>
      <c r="AL87" s="435">
        <f>AK87+AL77</f>
      </c>
      <c r="AM87" s="435">
        <f>AL87+AM77</f>
      </c>
      <c r="AN87" s="435">
        <f>AM87+AN77</f>
      </c>
      <c r="AO87" s="435">
        <f>AN87+AO77</f>
      </c>
      <c r="AP87" s="435">
        <f>AO87+AP77</f>
      </c>
      <c r="AQ87" s="435">
        <f>AP87+AQ77</f>
      </c>
      <c r="AR87" s="435">
        <f>AQ87+AR77</f>
      </c>
      <c r="AS87" s="435">
        <f>AR87+AS77</f>
      </c>
      <c r="AT87" s="435">
        <f>AS87+AT77</f>
      </c>
      <c r="AU87" s="435">
        <f>AT87+AU77</f>
      </c>
      <c r="AV87" s="435">
        <f>AU87+AV77</f>
      </c>
      <c r="AW87" s="435">
        <f>AV87+AW77</f>
      </c>
      <c r="AX87" s="435">
        <f>AW87+AX77</f>
      </c>
      <c r="AY87" s="435">
        <f>AX87+AY77</f>
      </c>
      <c r="AZ87" s="435">
        <f>AY87+AZ77</f>
      </c>
      <c r="BA87" s="435">
        <f>AZ87+BA77</f>
      </c>
      <c r="BB87" s="435">
        <f>BA87+BB77</f>
      </c>
      <c r="BC87" s="3"/>
      <c r="BD87" s="3"/>
      <c r="BE87" s="3"/>
    </row>
    <row x14ac:dyDescent="0.25" r="88" customHeight="1" ht="19.5">
      <c r="A88" s="3"/>
      <c r="B88" s="195" t="s">
        <v>508</v>
      </c>
      <c r="C88" s="435">
        <f>+C78</f>
      </c>
      <c r="D88" s="435">
        <f>C88+D78</f>
      </c>
      <c r="E88" s="435">
        <f>D88+E78</f>
      </c>
      <c r="F88" s="435">
        <f>E88+F78</f>
      </c>
      <c r="G88" s="435">
        <f>F88+G78</f>
      </c>
      <c r="H88" s="435">
        <f>G88+H78</f>
      </c>
      <c r="I88" s="435">
        <f>H88+I78</f>
      </c>
      <c r="J88" s="435">
        <f>I88+J78</f>
      </c>
      <c r="K88" s="435">
        <f>J88+K78</f>
      </c>
      <c r="L88" s="435">
        <f>K88+L78</f>
      </c>
      <c r="M88" s="435">
        <f>L88+M78</f>
      </c>
      <c r="N88" s="435">
        <f>M88+N78</f>
      </c>
      <c r="O88" s="435">
        <f>N88+O78</f>
      </c>
      <c r="P88" s="435">
        <f>O88+P78</f>
      </c>
      <c r="Q88" s="435">
        <f>P88+Q78</f>
      </c>
      <c r="R88" s="435">
        <f>Q88+R78</f>
      </c>
      <c r="S88" s="435">
        <f>R88+S78</f>
      </c>
      <c r="T88" s="435">
        <f>S88+T78</f>
      </c>
      <c r="U88" s="435">
        <f>T88+U78</f>
      </c>
      <c r="V88" s="435">
        <f>U88+V78</f>
      </c>
      <c r="W88" s="435">
        <f>V88+W78</f>
      </c>
      <c r="X88" s="435">
        <f>W88+X78</f>
      </c>
      <c r="Y88" s="435">
        <f>X88+Y78</f>
      </c>
      <c r="Z88" s="435">
        <f>Y88+Z78</f>
      </c>
      <c r="AA88" s="435">
        <f>Z88+AA78</f>
      </c>
      <c r="AB88" s="435">
        <f>AA88+AB78</f>
      </c>
      <c r="AC88" s="435">
        <f>AB88+AC78</f>
      </c>
      <c r="AD88" s="435">
        <f>AC88+AD78</f>
      </c>
      <c r="AE88" s="435">
        <f>AD88+AE78</f>
      </c>
      <c r="AF88" s="435">
        <f>AE88+AF78</f>
      </c>
      <c r="AG88" s="435">
        <f>AF88+AG78</f>
      </c>
      <c r="AH88" s="435">
        <f>AG88+AH78</f>
      </c>
      <c r="AI88" s="435">
        <f>AH88+AI78</f>
      </c>
      <c r="AJ88" s="435">
        <f>AI88+AJ78</f>
      </c>
      <c r="AK88" s="435">
        <f>AJ88+AK78</f>
      </c>
      <c r="AL88" s="435">
        <f>AK88+AL78</f>
      </c>
      <c r="AM88" s="435">
        <f>AL88+AM78</f>
      </c>
      <c r="AN88" s="435">
        <f>AM88+AN78</f>
      </c>
      <c r="AO88" s="435">
        <f>AN88+AO78</f>
      </c>
      <c r="AP88" s="435">
        <f>AO88+AP78</f>
      </c>
      <c r="AQ88" s="435">
        <f>AP88+AQ78</f>
      </c>
      <c r="AR88" s="435">
        <f>AQ88+AR78</f>
      </c>
      <c r="AS88" s="435">
        <f>AR88+AS78</f>
      </c>
      <c r="AT88" s="435">
        <f>AS88+AT78</f>
      </c>
      <c r="AU88" s="435">
        <f>AT88+AU78</f>
      </c>
      <c r="AV88" s="435">
        <f>AU88+AV78</f>
      </c>
      <c r="AW88" s="435">
        <f>AV88+AW78</f>
      </c>
      <c r="AX88" s="435">
        <f>AW88+AX78</f>
      </c>
      <c r="AY88" s="435">
        <f>AX88+AY78</f>
      </c>
      <c r="AZ88" s="435">
        <f>AY88+AZ78</f>
      </c>
      <c r="BA88" s="435">
        <f>AZ88+BA78</f>
      </c>
      <c r="BB88" s="435">
        <f>BA88+BB78</f>
      </c>
      <c r="BC88" s="3"/>
      <c r="BD88" s="3"/>
      <c r="BE88" s="3"/>
    </row>
    <row x14ac:dyDescent="0.25" r="89" customHeight="1" ht="19.5">
      <c r="A89" s="3"/>
      <c r="B89" s="195" t="s">
        <v>509</v>
      </c>
      <c r="C89" s="520">
        <f>+C79</f>
      </c>
      <c r="D89" s="435">
        <f>C89+D79</f>
      </c>
      <c r="E89" s="435">
        <f>D89+E79</f>
      </c>
      <c r="F89" s="435">
        <f>E89+F79</f>
      </c>
      <c r="G89" s="435">
        <f>F89+G79</f>
      </c>
      <c r="H89" s="435">
        <f>G89+H79</f>
      </c>
      <c r="I89" s="435">
        <f>H89+I79</f>
      </c>
      <c r="J89" s="435">
        <f>I89+J79</f>
      </c>
      <c r="K89" s="435">
        <f>J89+K79</f>
      </c>
      <c r="L89" s="435">
        <f>K89+L79</f>
      </c>
      <c r="M89" s="435">
        <f>L89+M79</f>
      </c>
      <c r="N89" s="435">
        <f>M89+N79</f>
      </c>
      <c r="O89" s="435">
        <f>N89+O79</f>
      </c>
      <c r="P89" s="435">
        <f>O89+P79</f>
      </c>
      <c r="Q89" s="435">
        <f>P89+Q79</f>
      </c>
      <c r="R89" s="435">
        <f>Q89+R79</f>
      </c>
      <c r="S89" s="435">
        <f>R89+S79</f>
      </c>
      <c r="T89" s="435">
        <f>S89+T79</f>
      </c>
      <c r="U89" s="435">
        <f>T89+U79</f>
      </c>
      <c r="V89" s="435">
        <f>U89+V79</f>
      </c>
      <c r="W89" s="435">
        <f>V89+W79</f>
      </c>
      <c r="X89" s="435">
        <f>W89+X79</f>
      </c>
      <c r="Y89" s="435">
        <f>X89+Y79</f>
      </c>
      <c r="Z89" s="435">
        <f>Y89+Z79</f>
      </c>
      <c r="AA89" s="435">
        <f>Z89+AA79</f>
      </c>
      <c r="AB89" s="435">
        <f>AA89+AB79</f>
      </c>
      <c r="AC89" s="435">
        <f>AB89+AC79</f>
      </c>
      <c r="AD89" s="435">
        <f>AC89+AD79</f>
      </c>
      <c r="AE89" s="435">
        <f>AD89+AE79</f>
      </c>
      <c r="AF89" s="435">
        <f>AE89+AF79</f>
      </c>
      <c r="AG89" s="435">
        <f>AF89+AG79</f>
      </c>
      <c r="AH89" s="435">
        <f>AG89+AH79</f>
      </c>
      <c r="AI89" s="435">
        <f>AH89+AI79</f>
      </c>
      <c r="AJ89" s="435">
        <f>AI89+AJ79</f>
      </c>
      <c r="AK89" s="435">
        <f>AJ89+AK79</f>
      </c>
      <c r="AL89" s="435">
        <f>AK89+AL79</f>
      </c>
      <c r="AM89" s="435">
        <f>AL89+AM79</f>
      </c>
      <c r="AN89" s="435">
        <f>AM89+AN79</f>
      </c>
      <c r="AO89" s="435">
        <f>AN89+AO79</f>
      </c>
      <c r="AP89" s="435">
        <f>AO89+AP79</f>
      </c>
      <c r="AQ89" s="435">
        <f>AP89+AQ79</f>
      </c>
      <c r="AR89" s="435">
        <f>AQ89+AR79</f>
      </c>
      <c r="AS89" s="435">
        <f>AR89+AS79</f>
      </c>
      <c r="AT89" s="435">
        <f>AS89+AT79</f>
      </c>
      <c r="AU89" s="435">
        <f>AT89+AU79</f>
      </c>
      <c r="AV89" s="435">
        <f>AU89+AV79</f>
      </c>
      <c r="AW89" s="435">
        <f>AV89+AW79</f>
      </c>
      <c r="AX89" s="435">
        <f>AW89+AX79</f>
      </c>
      <c r="AY89" s="435">
        <f>AX89+AY79</f>
      </c>
      <c r="AZ89" s="435">
        <f>AY89+AZ79</f>
      </c>
      <c r="BA89" s="435">
        <f>AZ89+BA79</f>
      </c>
      <c r="BB89" s="435">
        <f>BA89+BB79</f>
      </c>
      <c r="BC89" s="3"/>
      <c r="BD89" s="3"/>
      <c r="BE89" s="3"/>
    </row>
    <row x14ac:dyDescent="0.25" r="90" customHeight="1" ht="19.5">
      <c r="A90" s="3"/>
      <c r="B90" s="3"/>
      <c r="C90" s="332"/>
      <c r="D90" s="8"/>
      <c r="E90" s="8"/>
      <c r="F90" s="8"/>
      <c r="G90" s="332"/>
      <c r="H90" s="332"/>
      <c r="I90" s="8"/>
      <c r="J90" s="8"/>
      <c r="K90" s="8"/>
      <c r="L90" s="332"/>
      <c r="M90" s="332"/>
      <c r="N90" s="332"/>
      <c r="O90" s="332"/>
      <c r="P90" s="332"/>
      <c r="Q90" s="332"/>
      <c r="R90" s="332"/>
      <c r="S90" s="332"/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  <c r="AG90" s="332"/>
      <c r="AH90" s="332"/>
      <c r="AI90" s="332"/>
      <c r="AJ90" s="332"/>
      <c r="AK90" s="332"/>
      <c r="AL90" s="332"/>
      <c r="AM90" s="332"/>
      <c r="AN90" s="332"/>
      <c r="AO90" s="332"/>
      <c r="AP90" s="332"/>
      <c r="AQ90" s="332"/>
      <c r="AR90" s="332"/>
      <c r="AS90" s="332"/>
      <c r="AT90" s="332"/>
      <c r="AU90" s="332"/>
      <c r="AV90" s="332"/>
      <c r="AW90" s="332"/>
      <c r="AX90" s="332"/>
      <c r="AY90" s="332"/>
      <c r="AZ90" s="332"/>
      <c r="BA90" s="332"/>
      <c r="BB90" s="332"/>
      <c r="BC90" s="3"/>
      <c r="BD90" s="3"/>
      <c r="BE90" s="3"/>
    </row>
    <row x14ac:dyDescent="0.25" r="91" customHeight="1" ht="19.5" hidden="1">
      <c r="A91" s="3"/>
      <c r="B91" s="3"/>
      <c r="C91" s="332"/>
      <c r="D91" s="8"/>
      <c r="E91" s="8"/>
      <c r="F91" s="8"/>
      <c r="G91" s="332"/>
      <c r="H91" s="332"/>
      <c r="I91" s="8"/>
      <c r="J91" s="8"/>
      <c r="K91" s="8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/>
      <c r="Y91" s="332"/>
      <c r="Z91" s="332"/>
      <c r="AA91" s="332"/>
      <c r="AB91" s="332"/>
      <c r="AC91" s="332"/>
      <c r="AD91" s="332"/>
      <c r="AE91" s="332"/>
      <c r="AF91" s="332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"/>
      <c r="BD91" s="3"/>
      <c r="BE91" s="3"/>
    </row>
    <row x14ac:dyDescent="0.25" r="92" customHeight="1" ht="19.5" hidden="1">
      <c r="A92" s="3"/>
      <c r="B92" s="3"/>
      <c r="C92" s="332"/>
      <c r="D92" s="8"/>
      <c r="E92" s="8"/>
      <c r="F92" s="8"/>
      <c r="G92" s="332"/>
      <c r="H92" s="332"/>
      <c r="I92" s="8"/>
      <c r="J92" s="8"/>
      <c r="K92" s="8"/>
      <c r="L92" s="332"/>
      <c r="M92" s="332"/>
      <c r="N92" s="332"/>
      <c r="O92" s="332"/>
      <c r="P92" s="332"/>
      <c r="Q92" s="332"/>
      <c r="R92" s="332"/>
      <c r="S92" s="332"/>
      <c r="T92" s="332"/>
      <c r="U92" s="332"/>
      <c r="V92" s="332"/>
      <c r="W92" s="332"/>
      <c r="X92" s="332"/>
      <c r="Y92" s="332"/>
      <c r="Z92" s="332"/>
      <c r="AA92" s="332"/>
      <c r="AB92" s="332"/>
      <c r="AC92" s="332"/>
      <c r="AD92" s="332"/>
      <c r="AE92" s="332"/>
      <c r="AF92" s="332"/>
      <c r="AG92" s="332"/>
      <c r="AH92" s="332"/>
      <c r="AI92" s="332"/>
      <c r="AJ92" s="332"/>
      <c r="AK92" s="332"/>
      <c r="AL92" s="332"/>
      <c r="AM92" s="332"/>
      <c r="AN92" s="332"/>
      <c r="AO92" s="332"/>
      <c r="AP92" s="332"/>
      <c r="AQ92" s="332"/>
      <c r="AR92" s="332"/>
      <c r="AS92" s="332"/>
      <c r="AT92" s="332"/>
      <c r="AU92" s="332"/>
      <c r="AV92" s="332"/>
      <c r="AW92" s="332"/>
      <c r="AX92" s="332"/>
      <c r="AY92" s="332"/>
      <c r="AZ92" s="332"/>
      <c r="BA92" s="332"/>
      <c r="BB92" s="332"/>
      <c r="BC92" s="3"/>
      <c r="BD92" s="3"/>
      <c r="BE92" s="3"/>
    </row>
    <row x14ac:dyDescent="0.25" r="93" customHeight="1" ht="19.5" hidden="1">
      <c r="A93" s="3"/>
      <c r="B93" s="3"/>
      <c r="C93" s="332"/>
      <c r="D93" s="8"/>
      <c r="E93" s="8"/>
      <c r="F93" s="8"/>
      <c r="G93" s="332"/>
      <c r="H93" s="332"/>
      <c r="I93" s="8"/>
      <c r="J93" s="8"/>
      <c r="K93" s="8"/>
      <c r="L93" s="332"/>
      <c r="M93" s="332"/>
      <c r="N93" s="332"/>
      <c r="O93" s="332"/>
      <c r="P93" s="332"/>
      <c r="Q93" s="332"/>
      <c r="R93" s="332"/>
      <c r="S93" s="332"/>
      <c r="T93" s="332"/>
      <c r="U93" s="332"/>
      <c r="V93" s="332"/>
      <c r="W93" s="332"/>
      <c r="X93" s="332"/>
      <c r="Y93" s="332"/>
      <c r="Z93" s="332"/>
      <c r="AA93" s="332"/>
      <c r="AB93" s="332"/>
      <c r="AC93" s="332"/>
      <c r="AD93" s="332"/>
      <c r="AE93" s="332"/>
      <c r="AF93" s="332"/>
      <c r="AG93" s="332"/>
      <c r="AH93" s="332"/>
      <c r="AI93" s="332"/>
      <c r="AJ93" s="332"/>
      <c r="AK93" s="332"/>
      <c r="AL93" s="332"/>
      <c r="AM93" s="332"/>
      <c r="AN93" s="332"/>
      <c r="AO93" s="332"/>
      <c r="AP93" s="332"/>
      <c r="AQ93" s="332"/>
      <c r="AR93" s="332"/>
      <c r="AS93" s="332"/>
      <c r="AT93" s="332"/>
      <c r="AU93" s="332"/>
      <c r="AV93" s="332"/>
      <c r="AW93" s="332"/>
      <c r="AX93" s="332"/>
      <c r="AY93" s="332"/>
      <c r="AZ93" s="332"/>
      <c r="BA93" s="332"/>
      <c r="BB93" s="332"/>
      <c r="BC93" s="3"/>
      <c r="BD93" s="3"/>
      <c r="BE93" s="3"/>
    </row>
    <row x14ac:dyDescent="0.25" r="94" customHeight="1" ht="19.5" hidden="1">
      <c r="A94" s="3"/>
      <c r="B94" s="3"/>
      <c r="C94" s="332"/>
      <c r="D94" s="8"/>
      <c r="E94" s="8"/>
      <c r="F94" s="8"/>
      <c r="G94" s="332"/>
      <c r="H94" s="332"/>
      <c r="I94" s="8"/>
      <c r="J94" s="8"/>
      <c r="K94" s="8"/>
      <c r="L94" s="332"/>
      <c r="M94" s="332"/>
      <c r="N94" s="332"/>
      <c r="O94" s="332"/>
      <c r="P94" s="332"/>
      <c r="Q94" s="332"/>
      <c r="R94" s="332"/>
      <c r="S94" s="332"/>
      <c r="T94" s="332"/>
      <c r="U94" s="332"/>
      <c r="V94" s="332"/>
      <c r="W94" s="332"/>
      <c r="X94" s="332"/>
      <c r="Y94" s="332"/>
      <c r="Z94" s="332"/>
      <c r="AA94" s="332"/>
      <c r="AB94" s="332"/>
      <c r="AC94" s="332"/>
      <c r="AD94" s="332"/>
      <c r="AE94" s="332"/>
      <c r="AF94" s="332"/>
      <c r="AG94" s="332"/>
      <c r="AH94" s="332"/>
      <c r="AI94" s="332"/>
      <c r="AJ94" s="332"/>
      <c r="AK94" s="332"/>
      <c r="AL94" s="332"/>
      <c r="AM94" s="332"/>
      <c r="AN94" s="332"/>
      <c r="AO94" s="332"/>
      <c r="AP94" s="332"/>
      <c r="AQ94" s="332"/>
      <c r="AR94" s="332"/>
      <c r="AS94" s="332"/>
      <c r="AT94" s="332"/>
      <c r="AU94" s="332"/>
      <c r="AV94" s="332"/>
      <c r="AW94" s="332"/>
      <c r="AX94" s="332"/>
      <c r="AY94" s="332"/>
      <c r="AZ94" s="332"/>
      <c r="BA94" s="332"/>
      <c r="BB94" s="332"/>
      <c r="BC94" s="3"/>
      <c r="BD94" s="3"/>
      <c r="BE94" s="3"/>
    </row>
    <row x14ac:dyDescent="0.25" r="95" customHeight="1" ht="19.5" hidden="1">
      <c r="A95" s="3"/>
      <c r="B95" s="3"/>
      <c r="C95" s="332"/>
      <c r="D95" s="8"/>
      <c r="E95" s="8"/>
      <c r="F95" s="8"/>
      <c r="G95" s="332"/>
      <c r="H95" s="332"/>
      <c r="I95" s="8"/>
      <c r="J95" s="8"/>
      <c r="K95" s="8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32"/>
      <c r="AB95" s="332"/>
      <c r="AC95" s="332"/>
      <c r="AD95" s="332"/>
      <c r="AE95" s="332"/>
      <c r="AF95" s="332"/>
      <c r="AG95" s="332"/>
      <c r="AH95" s="332"/>
      <c r="AI95" s="332"/>
      <c r="AJ95" s="332"/>
      <c r="AK95" s="332"/>
      <c r="AL95" s="332"/>
      <c r="AM95" s="332"/>
      <c r="AN95" s="332"/>
      <c r="AO95" s="332"/>
      <c r="AP95" s="332"/>
      <c r="AQ95" s="332"/>
      <c r="AR95" s="332"/>
      <c r="AS95" s="332"/>
      <c r="AT95" s="332"/>
      <c r="AU95" s="332"/>
      <c r="AV95" s="332"/>
      <c r="AW95" s="332"/>
      <c r="AX95" s="332"/>
      <c r="AY95" s="332"/>
      <c r="AZ95" s="332"/>
      <c r="BA95" s="332"/>
      <c r="BB95" s="332"/>
      <c r="BC95" s="3"/>
      <c r="BD95" s="3"/>
      <c r="BE95" s="3"/>
    </row>
    <row x14ac:dyDescent="0.25" r="96" customHeight="1" ht="19.5" hidden="1">
      <c r="A96" s="3"/>
      <c r="B96" s="3"/>
      <c r="C96" s="332"/>
      <c r="D96" s="8"/>
      <c r="E96" s="8"/>
      <c r="F96" s="8"/>
      <c r="G96" s="332"/>
      <c r="H96" s="332"/>
      <c r="I96" s="8"/>
      <c r="J96" s="8"/>
      <c r="K96" s="8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32"/>
      <c r="AB96" s="332"/>
      <c r="AC96" s="332"/>
      <c r="AD96" s="332"/>
      <c r="AE96" s="332"/>
      <c r="AF96" s="332"/>
      <c r="AG96" s="332"/>
      <c r="AH96" s="332"/>
      <c r="AI96" s="332"/>
      <c r="AJ96" s="332"/>
      <c r="AK96" s="332"/>
      <c r="AL96" s="332"/>
      <c r="AM96" s="332"/>
      <c r="AN96" s="332"/>
      <c r="AO96" s="332"/>
      <c r="AP96" s="332"/>
      <c r="AQ96" s="332"/>
      <c r="AR96" s="332"/>
      <c r="AS96" s="332"/>
      <c r="AT96" s="332"/>
      <c r="AU96" s="332"/>
      <c r="AV96" s="332"/>
      <c r="AW96" s="332"/>
      <c r="AX96" s="332"/>
      <c r="AY96" s="332"/>
      <c r="AZ96" s="332"/>
      <c r="BA96" s="332"/>
      <c r="BB96" s="332"/>
      <c r="BC96" s="3"/>
      <c r="BD96" s="3"/>
      <c r="BE96" s="3"/>
    </row>
    <row x14ac:dyDescent="0.25" r="97" customHeight="1" ht="19.5" hidden="1">
      <c r="A97" s="3"/>
      <c r="B97" s="3"/>
      <c r="C97" s="332"/>
      <c r="D97" s="8"/>
      <c r="E97" s="8"/>
      <c r="F97" s="8"/>
      <c r="G97" s="332"/>
      <c r="H97" s="332"/>
      <c r="I97" s="8"/>
      <c r="J97" s="8"/>
      <c r="K97" s="8"/>
      <c r="L97" s="332"/>
      <c r="M97" s="332"/>
      <c r="N97" s="332"/>
      <c r="O97" s="332"/>
      <c r="P97" s="332"/>
      <c r="Q97" s="332"/>
      <c r="R97" s="332"/>
      <c r="S97" s="332"/>
      <c r="T97" s="332"/>
      <c r="U97" s="332"/>
      <c r="V97" s="332"/>
      <c r="W97" s="332"/>
      <c r="X97" s="332"/>
      <c r="Y97" s="332"/>
      <c r="Z97" s="332"/>
      <c r="AA97" s="332"/>
      <c r="AB97" s="332"/>
      <c r="AC97" s="332"/>
      <c r="AD97" s="332"/>
      <c r="AE97" s="332"/>
      <c r="AF97" s="332"/>
      <c r="AG97" s="332"/>
      <c r="AH97" s="332"/>
      <c r="AI97" s="332"/>
      <c r="AJ97" s="332"/>
      <c r="AK97" s="332"/>
      <c r="AL97" s="332"/>
      <c r="AM97" s="332"/>
      <c r="AN97" s="332"/>
      <c r="AO97" s="332"/>
      <c r="AP97" s="332"/>
      <c r="AQ97" s="332"/>
      <c r="AR97" s="332"/>
      <c r="AS97" s="332"/>
      <c r="AT97" s="332"/>
      <c r="AU97" s="332"/>
      <c r="AV97" s="332"/>
      <c r="AW97" s="332"/>
      <c r="AX97" s="332"/>
      <c r="AY97" s="332"/>
      <c r="AZ97" s="332"/>
      <c r="BA97" s="332"/>
      <c r="BB97" s="332"/>
      <c r="BC97" s="3"/>
      <c r="BD97" s="3"/>
      <c r="BE97" s="3"/>
    </row>
    <row x14ac:dyDescent="0.25" r="98" customHeight="1" ht="19.5" hidden="1">
      <c r="A98" s="3"/>
      <c r="B98" s="3"/>
      <c r="C98" s="332"/>
      <c r="D98" s="8"/>
      <c r="E98" s="8"/>
      <c r="F98" s="8"/>
      <c r="G98" s="332"/>
      <c r="H98" s="332"/>
      <c r="I98" s="8"/>
      <c r="J98" s="8"/>
      <c r="K98" s="8"/>
      <c r="L98" s="332"/>
      <c r="M98" s="332"/>
      <c r="N98" s="332"/>
      <c r="O98" s="332"/>
      <c r="P98" s="332"/>
      <c r="Q98" s="332"/>
      <c r="R98" s="332"/>
      <c r="S98" s="332"/>
      <c r="T98" s="332"/>
      <c r="U98" s="332"/>
      <c r="V98" s="332"/>
      <c r="W98" s="332"/>
      <c r="X98" s="332"/>
      <c r="Y98" s="332"/>
      <c r="Z98" s="332"/>
      <c r="AA98" s="332"/>
      <c r="AB98" s="332"/>
      <c r="AC98" s="332"/>
      <c r="AD98" s="332"/>
      <c r="AE98" s="332"/>
      <c r="AF98" s="332"/>
      <c r="AG98" s="332"/>
      <c r="AH98" s="332"/>
      <c r="AI98" s="332"/>
      <c r="AJ98" s="332"/>
      <c r="AK98" s="332"/>
      <c r="AL98" s="332"/>
      <c r="AM98" s="332"/>
      <c r="AN98" s="332"/>
      <c r="AO98" s="332"/>
      <c r="AP98" s="332"/>
      <c r="AQ98" s="332"/>
      <c r="AR98" s="332"/>
      <c r="AS98" s="332"/>
      <c r="AT98" s="332"/>
      <c r="AU98" s="332"/>
      <c r="AV98" s="332"/>
      <c r="AW98" s="332"/>
      <c r="AX98" s="332"/>
      <c r="AY98" s="332"/>
      <c r="AZ98" s="332"/>
      <c r="BA98" s="332"/>
      <c r="BB98" s="332"/>
      <c r="BC98" s="3"/>
      <c r="BD98" s="3"/>
      <c r="BE98" s="3"/>
    </row>
    <row x14ac:dyDescent="0.25" r="99" customHeight="1" ht="19.5" hidden="1">
      <c r="A99" s="3" t="s">
        <v>595</v>
      </c>
      <c r="B99" s="3"/>
      <c r="C99" s="332"/>
      <c r="D99" s="8"/>
      <c r="E99" s="8"/>
      <c r="F99" s="8"/>
      <c r="G99" s="332"/>
      <c r="H99" s="332"/>
      <c r="I99" s="8"/>
      <c r="J99" s="8"/>
      <c r="K99" s="8"/>
      <c r="L99" s="332"/>
      <c r="M99" s="332"/>
      <c r="N99" s="332"/>
      <c r="O99" s="332"/>
      <c r="P99" s="332"/>
      <c r="Q99" s="332"/>
      <c r="R99" s="332"/>
      <c r="S99" s="332"/>
      <c r="T99" s="332"/>
      <c r="U99" s="332"/>
      <c r="V99" s="332"/>
      <c r="W99" s="332"/>
      <c r="X99" s="332"/>
      <c r="Y99" s="332"/>
      <c r="Z99" s="332"/>
      <c r="AA99" s="332"/>
      <c r="AB99" s="332"/>
      <c r="AC99" s="332"/>
      <c r="AD99" s="332"/>
      <c r="AE99" s="332"/>
      <c r="AF99" s="332"/>
      <c r="AG99" s="332"/>
      <c r="AH99" s="332"/>
      <c r="AI99" s="332"/>
      <c r="AJ99" s="332"/>
      <c r="AK99" s="332"/>
      <c r="AL99" s="332"/>
      <c r="AM99" s="332"/>
      <c r="AN99" s="332"/>
      <c r="AO99" s="332"/>
      <c r="AP99" s="332"/>
      <c r="AQ99" s="332"/>
      <c r="AR99" s="332"/>
      <c r="AS99" s="332"/>
      <c r="AT99" s="332"/>
      <c r="AU99" s="332"/>
      <c r="AV99" s="332"/>
      <c r="AW99" s="332"/>
      <c r="AX99" s="332"/>
      <c r="AY99" s="332"/>
      <c r="AZ99" s="332"/>
      <c r="BA99" s="332"/>
      <c r="BB99" s="332"/>
      <c r="BC99" s="3"/>
      <c r="BD99" s="3"/>
      <c r="BE99" s="3"/>
    </row>
    <row x14ac:dyDescent="0.25" r="100" customHeight="1" ht="19.5" hidden="1">
      <c r="A100" s="3"/>
      <c r="B100" s="30" t="s">
        <v>41</v>
      </c>
      <c r="C100" s="426">
        <f>C17</f>
      </c>
      <c r="D100" s="426">
        <f>D17+C17</f>
      </c>
      <c r="E100" s="426">
        <f>E17+D100</f>
      </c>
      <c r="F100" s="426">
        <f>F17+E100</f>
      </c>
      <c r="G100" s="426">
        <f>G17+F100</f>
      </c>
      <c r="H100" s="426">
        <f>H17+G100</f>
      </c>
      <c r="I100" s="426">
        <f>I17+H100</f>
      </c>
      <c r="J100" s="426">
        <f>J17+I100</f>
      </c>
      <c r="K100" s="426">
        <f>K17+J100</f>
      </c>
      <c r="L100" s="426">
        <f>L17+K100</f>
      </c>
      <c r="M100" s="426">
        <f>M17+L100</f>
      </c>
      <c r="N100" s="426">
        <f>N17+M100</f>
      </c>
      <c r="O100" s="426">
        <f>O17+N100</f>
      </c>
      <c r="P100" s="426">
        <f>P17+O100</f>
      </c>
      <c r="Q100" s="426">
        <f>Q17+P100</f>
      </c>
      <c r="R100" s="426">
        <f>R17+Q100</f>
      </c>
      <c r="S100" s="426">
        <f>S17+R100</f>
      </c>
      <c r="T100" s="426">
        <f>T17+S100</f>
      </c>
      <c r="U100" s="426">
        <f>U17+T100</f>
      </c>
      <c r="V100" s="426">
        <f>V17+U100</f>
      </c>
      <c r="W100" s="426">
        <f>W17+V100</f>
      </c>
      <c r="X100" s="426">
        <f>X17+W100</f>
      </c>
      <c r="Y100" s="426">
        <f>Y17+X100</f>
      </c>
      <c r="Z100" s="426">
        <f>Z17+Y100</f>
      </c>
      <c r="AA100" s="426">
        <f>AA17+Z100</f>
      </c>
      <c r="AB100" s="426">
        <f>AB17+AA100</f>
      </c>
      <c r="AC100" s="426">
        <f>AC17+AB100</f>
      </c>
      <c r="AD100" s="426">
        <f>AD17+AC100</f>
      </c>
      <c r="AE100" s="426">
        <f>AE17+AD100</f>
      </c>
      <c r="AF100" s="426">
        <f>AF17+AE100</f>
      </c>
      <c r="AG100" s="426">
        <f>AG17+AF100</f>
      </c>
      <c r="AH100" s="426">
        <f>AH17+AG100</f>
      </c>
      <c r="AI100" s="426">
        <f>AI17+AH100</f>
      </c>
      <c r="AJ100" s="426">
        <f>AJ17+AI100</f>
      </c>
      <c r="AK100" s="426">
        <f>AK17+AJ100</f>
      </c>
      <c r="AL100" s="426">
        <f>AL17+AK100</f>
      </c>
      <c r="AM100" s="426">
        <f>AM17+AL100</f>
      </c>
      <c r="AN100" s="426">
        <f>AN17+AM100</f>
      </c>
      <c r="AO100" s="426">
        <f>AO17+AN100</f>
      </c>
      <c r="AP100" s="426">
        <f>AP17+AO100</f>
      </c>
      <c r="AQ100" s="426">
        <f>AQ17+AP100</f>
      </c>
      <c r="AR100" s="426">
        <f>AR17+AQ100</f>
      </c>
      <c r="AS100" s="426">
        <f>AS17+AR100</f>
      </c>
      <c r="AT100" s="426">
        <f>AT17+AS100</f>
      </c>
      <c r="AU100" s="426">
        <f>AU17+AT100</f>
      </c>
      <c r="AV100" s="426">
        <f>AV17+AU100</f>
      </c>
      <c r="AW100" s="426">
        <f>AW17+AV100</f>
      </c>
      <c r="AX100" s="426">
        <f>AX17+AW100</f>
      </c>
      <c r="AY100" s="426">
        <f>AY17+AX100</f>
      </c>
      <c r="AZ100" s="426">
        <f>AZ17+AY100</f>
      </c>
      <c r="BA100" s="426">
        <f>BA17+AZ100</f>
      </c>
      <c r="BB100" s="426">
        <f>BB17+BA100</f>
      </c>
      <c r="BC100" s="3"/>
      <c r="BD100" s="3"/>
      <c r="BE100" s="3"/>
    </row>
    <row x14ac:dyDescent="0.25" r="101" customHeight="1" ht="19.5" hidden="1">
      <c r="A101" s="3"/>
      <c r="B101" s="30" t="s">
        <v>142</v>
      </c>
      <c r="C101" s="426">
        <f>C18</f>
      </c>
      <c r="D101" s="426">
        <f>D18+C18</f>
      </c>
      <c r="E101" s="426">
        <f>E18+D101</f>
      </c>
      <c r="F101" s="426">
        <f>F18+E101</f>
      </c>
      <c r="G101" s="426">
        <f>G18+F101</f>
      </c>
      <c r="H101" s="426">
        <f>H18+G101</f>
      </c>
      <c r="I101" s="426">
        <f>I18+H101</f>
      </c>
      <c r="J101" s="426">
        <f>J18+I101</f>
      </c>
      <c r="K101" s="426">
        <f>K18+J101</f>
      </c>
      <c r="L101" s="426">
        <f>L18+K101</f>
      </c>
      <c r="M101" s="426">
        <f>M18+L101</f>
      </c>
      <c r="N101" s="426">
        <f>N18+M101</f>
      </c>
      <c r="O101" s="426">
        <f>O18+N101</f>
      </c>
      <c r="P101" s="426">
        <f>P18+O101</f>
      </c>
      <c r="Q101" s="426">
        <f>Q18+P101</f>
      </c>
      <c r="R101" s="426">
        <f>R18+Q101</f>
      </c>
      <c r="S101" s="426">
        <f>S18+R101</f>
      </c>
      <c r="T101" s="426">
        <f>T18+S101</f>
      </c>
      <c r="U101" s="426">
        <f>U18+T101</f>
      </c>
      <c r="V101" s="426">
        <f>V18+U101</f>
      </c>
      <c r="W101" s="426">
        <f>W18+V101</f>
      </c>
      <c r="X101" s="426">
        <f>X18+W101</f>
      </c>
      <c r="Y101" s="426">
        <f>Y18+X101</f>
      </c>
      <c r="Z101" s="426">
        <f>Z18+Y101</f>
      </c>
      <c r="AA101" s="426">
        <f>AA18+Z101</f>
      </c>
      <c r="AB101" s="426">
        <f>AB18+AA101</f>
      </c>
      <c r="AC101" s="426">
        <f>AC18+AB101</f>
      </c>
      <c r="AD101" s="426">
        <f>AD18+AC101</f>
      </c>
      <c r="AE101" s="426">
        <f>AE18+AD101</f>
      </c>
      <c r="AF101" s="426">
        <f>AF18+AE101</f>
      </c>
      <c r="AG101" s="426">
        <f>AG18+AF101</f>
      </c>
      <c r="AH101" s="426">
        <f>AH18+AG101</f>
      </c>
      <c r="AI101" s="426">
        <f>AI18+AH101</f>
      </c>
      <c r="AJ101" s="426">
        <f>AJ18+AI101</f>
      </c>
      <c r="AK101" s="426">
        <f>AK18+AJ101</f>
      </c>
      <c r="AL101" s="426">
        <f>AL18+AK101</f>
      </c>
      <c r="AM101" s="426">
        <f>AM18+AL101</f>
      </c>
      <c r="AN101" s="426">
        <f>AN18+AM101</f>
      </c>
      <c r="AO101" s="426">
        <f>AO18+AN101</f>
      </c>
      <c r="AP101" s="426">
        <f>AP18+AO101</f>
      </c>
      <c r="AQ101" s="426">
        <f>AQ18+AP101</f>
      </c>
      <c r="AR101" s="426">
        <f>AR18+AQ101</f>
      </c>
      <c r="AS101" s="426">
        <f>AS18+AR101</f>
      </c>
      <c r="AT101" s="426">
        <f>AT18+AS101</f>
      </c>
      <c r="AU101" s="426">
        <f>AU18+AT101</f>
      </c>
      <c r="AV101" s="426">
        <f>AV18+AU101</f>
      </c>
      <c r="AW101" s="426">
        <f>AW18+AV101</f>
      </c>
      <c r="AX101" s="426">
        <f>AX18+AW101</f>
      </c>
      <c r="AY101" s="426">
        <f>AY18+AX101</f>
      </c>
      <c r="AZ101" s="426">
        <f>AZ18+AY101</f>
      </c>
      <c r="BA101" s="426">
        <f>BA18+AZ101</f>
      </c>
      <c r="BB101" s="426">
        <f>BB18+BA101</f>
      </c>
      <c r="BC101" s="3"/>
      <c r="BD101" s="3"/>
      <c r="BE101" s="3"/>
    </row>
    <row x14ac:dyDescent="0.25" r="102" customHeight="1" ht="19.5" hidden="1">
      <c r="A102" s="3"/>
      <c r="B102" s="30" t="s">
        <v>596</v>
      </c>
      <c r="C102" s="521">
        <f>C100-C101</f>
      </c>
      <c r="D102" s="521">
        <f>D100-D101</f>
      </c>
      <c r="E102" s="521">
        <f>E100-E101</f>
      </c>
      <c r="F102" s="521">
        <f>F100-F101</f>
      </c>
      <c r="G102" s="521">
        <f>G100-G101</f>
      </c>
      <c r="H102" s="426">
        <f>H100-H101</f>
      </c>
      <c r="I102" s="426">
        <f>I100-I101</f>
      </c>
      <c r="J102" s="426">
        <f>J100-J101</f>
      </c>
      <c r="K102" s="426">
        <f>K100-K101</f>
      </c>
      <c r="L102" s="426">
        <f>L100-L101</f>
      </c>
      <c r="M102" s="426">
        <f>M100-M101</f>
      </c>
      <c r="N102" s="426">
        <f>N100-N101</f>
      </c>
      <c r="O102" s="426">
        <f>O100-O101</f>
      </c>
      <c r="P102" s="426">
        <f>P100-P101</f>
      </c>
      <c r="Q102" s="426">
        <f>Q100-Q101</f>
      </c>
      <c r="R102" s="426">
        <f>R100-R101</f>
      </c>
      <c r="S102" s="426">
        <f>S100-S101</f>
      </c>
      <c r="T102" s="426">
        <f>T100-T101</f>
      </c>
      <c r="U102" s="426">
        <f>U100-U101</f>
      </c>
      <c r="V102" s="521">
        <f>V100-V101</f>
      </c>
      <c r="W102" s="521">
        <f>W100-W101</f>
      </c>
      <c r="X102" s="521">
        <f>X100-X101</f>
      </c>
      <c r="Y102" s="521">
        <f>Y100-Y101</f>
      </c>
      <c r="Z102" s="521">
        <f>Z100-Z101</f>
      </c>
      <c r="AA102" s="521">
        <f>AA100-AA101</f>
      </c>
      <c r="AB102" s="521">
        <f>AB100-AB101</f>
      </c>
      <c r="AC102" s="521">
        <f>AC100-AC101</f>
      </c>
      <c r="AD102" s="521">
        <f>AD100-AD101</f>
      </c>
      <c r="AE102" s="521">
        <f>AE100-AE101</f>
      </c>
      <c r="AF102" s="521">
        <f>AF100-AF101</f>
      </c>
      <c r="AG102" s="521">
        <f>AG100-AG101</f>
      </c>
      <c r="AH102" s="521">
        <f>AH100-AH101</f>
      </c>
      <c r="AI102" s="521">
        <f>AI100-AI101</f>
      </c>
      <c r="AJ102" s="521">
        <f>AJ100-AJ101</f>
      </c>
      <c r="AK102" s="521">
        <f>AK100-AK101</f>
      </c>
      <c r="AL102" s="521">
        <f>AL100-AL101</f>
      </c>
      <c r="AM102" s="521">
        <f>AM100-AM101</f>
      </c>
      <c r="AN102" s="521">
        <f>AN100-AN101</f>
      </c>
      <c r="AO102" s="521">
        <f>AO100-AO101</f>
      </c>
      <c r="AP102" s="426">
        <f>AP100-AP101</f>
      </c>
      <c r="AQ102" s="426">
        <f>AQ100-AQ101</f>
      </c>
      <c r="AR102" s="426">
        <f>AR100-AR101</f>
      </c>
      <c r="AS102" s="426">
        <f>AS100-AS101</f>
      </c>
      <c r="AT102" s="426">
        <f>AT100-AT101</f>
      </c>
      <c r="AU102" s="426">
        <f>AU100-AU101</f>
      </c>
      <c r="AV102" s="426">
        <f>AV100-AV101</f>
      </c>
      <c r="AW102" s="426">
        <f>AW100-AW101</f>
      </c>
      <c r="AX102" s="426">
        <f>AX100-AX101</f>
      </c>
      <c r="AY102" s="426">
        <f>AY100-AY101</f>
      </c>
      <c r="AZ102" s="426">
        <f>AZ100-AZ101</f>
      </c>
      <c r="BA102" s="426">
        <f>BA100-BA101</f>
      </c>
      <c r="BB102" s="426">
        <f>BB100-BB101</f>
      </c>
      <c r="BC102" s="3"/>
      <c r="BD102" s="3"/>
      <c r="BE102" s="3"/>
    </row>
    <row x14ac:dyDescent="0.25" r="103" customHeight="1" ht="19.5" hidden="1">
      <c r="A103" s="16" t="s">
        <v>597</v>
      </c>
      <c r="B103" s="515"/>
      <c r="C103" s="332"/>
      <c r="D103" s="8"/>
      <c r="E103" s="8"/>
      <c r="F103" s="8"/>
      <c r="G103" s="332"/>
      <c r="H103" s="332"/>
      <c r="I103" s="8"/>
      <c r="J103" s="8"/>
      <c r="K103" s="8"/>
      <c r="L103" s="332"/>
      <c r="M103" s="332"/>
      <c r="N103" s="332"/>
      <c r="O103" s="332"/>
      <c r="P103" s="332"/>
      <c r="Q103" s="332"/>
      <c r="R103" s="332"/>
      <c r="S103" s="332"/>
      <c r="T103" s="332"/>
      <c r="U103" s="332"/>
      <c r="V103" s="332"/>
      <c r="W103" s="332"/>
      <c r="X103" s="332"/>
      <c r="Y103" s="332"/>
      <c r="Z103" s="332"/>
      <c r="AA103" s="332"/>
      <c r="AB103" s="332"/>
      <c r="AC103" s="332"/>
      <c r="AD103" s="332"/>
      <c r="AE103" s="332"/>
      <c r="AF103" s="332"/>
      <c r="AG103" s="332"/>
      <c r="AH103" s="332"/>
      <c r="AI103" s="332"/>
      <c r="AJ103" s="332"/>
      <c r="AK103" s="332"/>
      <c r="AL103" s="332"/>
      <c r="AM103" s="332"/>
      <c r="AN103" s="522"/>
      <c r="AO103" s="522"/>
      <c r="AP103" s="332"/>
      <c r="AQ103" s="332"/>
      <c r="AR103" s="332"/>
      <c r="AS103" s="332"/>
      <c r="AT103" s="332"/>
      <c r="AU103" s="332"/>
      <c r="AV103" s="332"/>
      <c r="AW103" s="332"/>
      <c r="AX103" s="332"/>
      <c r="AY103" s="332"/>
      <c r="AZ103" s="332"/>
      <c r="BA103" s="332"/>
      <c r="BB103" s="332"/>
      <c r="BC103" s="3"/>
      <c r="BD103" s="3"/>
      <c r="BE103" s="3"/>
    </row>
    <row x14ac:dyDescent="0.25" r="104" customHeight="1" ht="19.5" hidden="1">
      <c r="A104" s="3"/>
      <c r="B104" s="30" t="s">
        <v>598</v>
      </c>
      <c r="C104" s="426">
        <f>C20</f>
      </c>
      <c r="D104" s="426">
        <f>C104+D20</f>
      </c>
      <c r="E104" s="426">
        <f>D104+E20</f>
      </c>
      <c r="F104" s="426">
        <f>E104+F20</f>
      </c>
      <c r="G104" s="426">
        <f>F104+G20</f>
      </c>
      <c r="H104" s="426">
        <f>G104+H20</f>
      </c>
      <c r="I104" s="426">
        <f>H104+I20</f>
      </c>
      <c r="J104" s="426">
        <f>I104+J20</f>
      </c>
      <c r="K104" s="426">
        <f>J104+K20</f>
      </c>
      <c r="L104" s="426">
        <f>K104+L20</f>
      </c>
      <c r="M104" s="426">
        <f>L104+M20</f>
      </c>
      <c r="N104" s="426">
        <f>M104+N20</f>
      </c>
      <c r="O104" s="426">
        <f>N104+O20</f>
      </c>
      <c r="P104" s="426">
        <f>O104+P20</f>
      </c>
      <c r="Q104" s="426">
        <f>P104+Q20</f>
      </c>
      <c r="R104" s="426">
        <f>Q104+R20</f>
      </c>
      <c r="S104" s="523">
        <f>R104+S20</f>
      </c>
      <c r="T104" s="426">
        <f>S104+T20</f>
      </c>
      <c r="U104" s="426">
        <f>T104+U20</f>
      </c>
      <c r="V104" s="426">
        <f>U104+V20</f>
      </c>
      <c r="W104" s="426">
        <f>V104+W20</f>
      </c>
      <c r="X104" s="426">
        <f>W104+X20</f>
      </c>
      <c r="Y104" s="426">
        <f>X104+Y20</f>
      </c>
      <c r="Z104" s="426">
        <f>Y104+Z20</f>
      </c>
      <c r="AA104" s="426">
        <f>Z104+AA20</f>
      </c>
      <c r="AB104" s="426">
        <f>AA104+AB20</f>
      </c>
      <c r="AC104" s="426">
        <f>AB104+AC20</f>
      </c>
      <c r="AD104" s="426">
        <f>AC104+AD20</f>
      </c>
      <c r="AE104" s="426">
        <f>AD104+AE20</f>
      </c>
      <c r="AF104" s="426">
        <f>AE104+AF20</f>
      </c>
      <c r="AG104" s="524">
        <f>AF104+AG20</f>
      </c>
      <c r="AH104" s="426">
        <f>AG104+AH20</f>
      </c>
      <c r="AI104" s="426">
        <f>AH104+AI20</f>
      </c>
      <c r="AJ104" s="426">
        <f>AI104+AJ20</f>
      </c>
      <c r="AK104" s="426">
        <f>AJ104+AK20</f>
      </c>
      <c r="AL104" s="426">
        <f>AK104+AL20</f>
      </c>
      <c r="AM104" s="426">
        <f>AL104+AM20</f>
      </c>
      <c r="AN104" s="426">
        <f>AM104+AN20</f>
      </c>
      <c r="AO104" s="426">
        <f>AN104+AO20</f>
      </c>
      <c r="AP104" s="426">
        <f>AO104+AP20</f>
      </c>
      <c r="AQ104" s="426">
        <f>AP104+AQ20</f>
      </c>
      <c r="AR104" s="426">
        <f>AQ104+AR20</f>
      </c>
      <c r="AS104" s="426">
        <f>AR104+AS20</f>
      </c>
      <c r="AT104" s="426">
        <f>AS104+AT20</f>
      </c>
      <c r="AU104" s="426">
        <f>AT104+AU20</f>
      </c>
      <c r="AV104" s="426">
        <f>AU104+AV20</f>
      </c>
      <c r="AW104" s="426">
        <f>AV104+AW20</f>
      </c>
      <c r="AX104" s="426">
        <f>AW104+AX20</f>
      </c>
      <c r="AY104" s="426">
        <f>AX104+AY20</f>
      </c>
      <c r="AZ104" s="426">
        <f>AY104+AZ20</f>
      </c>
      <c r="BA104" s="525">
        <f>AZ104+BA20</f>
      </c>
      <c r="BB104" s="426">
        <f>BA104+BB20</f>
      </c>
      <c r="BC104" s="3"/>
      <c r="BD104" s="3"/>
      <c r="BE104" s="3"/>
    </row>
    <row x14ac:dyDescent="0.25" r="105" customHeight="1" ht="19.5" hidden="1">
      <c r="A105" s="3"/>
      <c r="B105" s="30" t="s">
        <v>599</v>
      </c>
      <c r="C105" s="426">
        <f>C21</f>
      </c>
      <c r="D105" s="426">
        <f>C105+D21</f>
      </c>
      <c r="E105" s="426">
        <f>D105+E21</f>
      </c>
      <c r="F105" s="426">
        <f>E105+F21</f>
      </c>
      <c r="G105" s="426">
        <f>F105+G21</f>
      </c>
      <c r="H105" s="426">
        <f>G105+H21</f>
      </c>
      <c r="I105" s="426">
        <f>H105+I21</f>
      </c>
      <c r="J105" s="426">
        <f>I105+J21</f>
      </c>
      <c r="K105" s="426">
        <f>J105+K21</f>
      </c>
      <c r="L105" s="426">
        <f>K105+L21</f>
      </c>
      <c r="M105" s="426">
        <f>L105+M21</f>
      </c>
      <c r="N105" s="426">
        <f>M105+N21</f>
      </c>
      <c r="O105" s="426">
        <f>N105+O21</f>
      </c>
      <c r="P105" s="426">
        <f>O105+P21</f>
      </c>
      <c r="Q105" s="426">
        <f>P105+Q21</f>
      </c>
      <c r="R105" s="426">
        <f>Q105+R21</f>
      </c>
      <c r="S105" s="523">
        <f>R105+S21</f>
      </c>
      <c r="T105" s="426">
        <f>S105+T21</f>
      </c>
      <c r="U105" s="426">
        <f>T105+U21</f>
      </c>
      <c r="V105" s="426">
        <f>U105+V21</f>
      </c>
      <c r="W105" s="426">
        <f>V105+W21</f>
      </c>
      <c r="X105" s="426">
        <f>W105+X21</f>
      </c>
      <c r="Y105" s="426">
        <f>X105+Y21</f>
      </c>
      <c r="Z105" s="426">
        <f>Y105+Z21</f>
      </c>
      <c r="AA105" s="426">
        <f>Z105+AA21</f>
      </c>
      <c r="AB105" s="426">
        <f>AA105+AB21</f>
      </c>
      <c r="AC105" s="426">
        <f>AB105+AC21</f>
      </c>
      <c r="AD105" s="426">
        <f>AC105+AD21</f>
      </c>
      <c r="AE105" s="426">
        <f>AD105+AE21</f>
      </c>
      <c r="AF105" s="426">
        <f>AE105+AF21</f>
      </c>
      <c r="AG105" s="524">
        <f>AF105+AG21</f>
      </c>
      <c r="AH105" s="426">
        <f>AG105+AH21</f>
      </c>
      <c r="AI105" s="426">
        <f>AH105+AI21</f>
      </c>
      <c r="AJ105" s="426">
        <f>AI105+AJ21</f>
      </c>
      <c r="AK105" s="426">
        <f>AJ105+AK21</f>
      </c>
      <c r="AL105" s="426">
        <f>AK105+AL21</f>
      </c>
      <c r="AM105" s="426">
        <f>AL105+AM21</f>
      </c>
      <c r="AN105" s="426">
        <f>AM105+AN21</f>
      </c>
      <c r="AO105" s="426">
        <f>AN105+AO21</f>
      </c>
      <c r="AP105" s="426">
        <f>AO105+AP21</f>
      </c>
      <c r="AQ105" s="426">
        <f>AP105+AQ21</f>
      </c>
      <c r="AR105" s="426">
        <f>AQ105+AR21</f>
      </c>
      <c r="AS105" s="426">
        <f>AR105+AS21</f>
      </c>
      <c r="AT105" s="426">
        <f>AS105+AT21</f>
      </c>
      <c r="AU105" s="426">
        <f>AT105+AU21</f>
      </c>
      <c r="AV105" s="426">
        <f>AU105+AV21</f>
      </c>
      <c r="AW105" s="426">
        <f>AV105+AW21</f>
      </c>
      <c r="AX105" s="426">
        <f>AW105+AX21</f>
      </c>
      <c r="AY105" s="426">
        <f>AX105+AY21</f>
      </c>
      <c r="AZ105" s="426">
        <f>AY105+AZ21</f>
      </c>
      <c r="BA105" s="525">
        <f>AZ105+BA21</f>
      </c>
      <c r="BB105" s="426">
        <f>BA105+BB21</f>
      </c>
      <c r="BC105" s="3"/>
      <c r="BD105" s="3"/>
      <c r="BE105" s="3"/>
    </row>
    <row x14ac:dyDescent="0.25" r="106" customHeight="1" ht="19.5" hidden="1">
      <c r="A106" s="3"/>
      <c r="B106" s="30" t="s">
        <v>596</v>
      </c>
      <c r="C106" s="521">
        <f>C104-C105</f>
      </c>
      <c r="D106" s="521">
        <f>D104-D105</f>
      </c>
      <c r="E106" s="521">
        <f>E104-E105</f>
      </c>
      <c r="F106" s="521">
        <f>F104-F105</f>
      </c>
      <c r="G106" s="521">
        <f>G104-G105</f>
      </c>
      <c r="H106" s="426">
        <f>H104-H105</f>
      </c>
      <c r="I106" s="426">
        <f>I104-I105</f>
      </c>
      <c r="J106" s="426">
        <f>J104-J105</f>
      </c>
      <c r="K106" s="521">
        <f>K104-K105</f>
      </c>
      <c r="L106" s="521">
        <f>L104-L105</f>
      </c>
      <c r="M106" s="521">
        <f>M104-M105</f>
      </c>
      <c r="N106" s="521">
        <f>N104-N105</f>
      </c>
      <c r="O106" s="426">
        <f>O104-O105</f>
      </c>
      <c r="P106" s="426">
        <f>P104-P105</f>
      </c>
      <c r="Q106" s="426">
        <f>Q104-Q105</f>
      </c>
      <c r="R106" s="521">
        <f>R104-R105</f>
      </c>
      <c r="S106" s="521">
        <f>S104-S105</f>
      </c>
      <c r="T106" s="521">
        <f>T104-T105</f>
      </c>
      <c r="U106" s="521">
        <f>U104-U105</f>
      </c>
      <c r="V106" s="521">
        <f>V104-V105</f>
      </c>
      <c r="W106" s="521">
        <f>W104-W105</f>
      </c>
      <c r="X106" s="521">
        <f>X104-X105</f>
      </c>
      <c r="Y106" s="521">
        <f>Y104-Y105</f>
      </c>
      <c r="Z106" s="521">
        <f>Z104-Z105</f>
      </c>
      <c r="AA106" s="521">
        <f>AA104-AA105</f>
      </c>
      <c r="AB106" s="521">
        <f>AB104-AB105</f>
      </c>
      <c r="AC106" s="521">
        <f>AC104-AC105</f>
      </c>
      <c r="AD106" s="521">
        <f>AD104-AD105</f>
      </c>
      <c r="AE106" s="521">
        <f>AE104-AE105</f>
      </c>
      <c r="AF106" s="521">
        <f>AF104-AF105</f>
      </c>
      <c r="AG106" s="521">
        <f>AG104-AG105</f>
      </c>
      <c r="AH106" s="521">
        <f>AH104-AH105</f>
      </c>
      <c r="AI106" s="521">
        <f>AI104-AI105</f>
      </c>
      <c r="AJ106" s="521">
        <f>AJ104-AJ105</f>
      </c>
      <c r="AK106" s="521">
        <f>AK104-AK105</f>
      </c>
      <c r="AL106" s="521">
        <f>AL104-AL105</f>
      </c>
      <c r="AM106" s="521">
        <f>AM104-AM105</f>
      </c>
      <c r="AN106" s="521">
        <f>AN104-AN105</f>
      </c>
      <c r="AO106" s="521">
        <f>AO104-AO105</f>
      </c>
      <c r="AP106" s="426">
        <f>AP104-AP105</f>
      </c>
      <c r="AQ106" s="426">
        <f>AQ104-AQ105</f>
      </c>
      <c r="AR106" s="426">
        <f>AR104-AR105</f>
      </c>
      <c r="AS106" s="426">
        <f>AS104-AS105</f>
      </c>
      <c r="AT106" s="426">
        <f>AT104-AT105</f>
      </c>
      <c r="AU106" s="426">
        <f>AU104-AU105</f>
      </c>
      <c r="AV106" s="426">
        <f>AV104-AV105</f>
      </c>
      <c r="AW106" s="426">
        <f>AW104-AW105</f>
      </c>
      <c r="AX106" s="426">
        <f>AX104-AX105</f>
      </c>
      <c r="AY106" s="426">
        <f>AY104-AY105</f>
      </c>
      <c r="AZ106" s="426">
        <f>AZ104-AZ105</f>
      </c>
      <c r="BA106" s="426">
        <f>BA104-BA105</f>
      </c>
      <c r="BB106" s="426">
        <f>BB104-BB105</f>
      </c>
      <c r="BC106" s="3"/>
      <c r="BD106" s="3"/>
      <c r="BE106" s="3"/>
    </row>
    <row x14ac:dyDescent="0.25" r="107" customHeight="1" ht="19.5" hidden="1">
      <c r="A107" s="3"/>
      <c r="B107" s="30" t="s">
        <v>600</v>
      </c>
      <c r="C107" s="526">
        <f>1/52*C16</f>
      </c>
      <c r="D107" s="526">
        <f>1/52*D16</f>
      </c>
      <c r="E107" s="526">
        <f>1/52*E16</f>
      </c>
      <c r="F107" s="526">
        <f>1/52*F16</f>
      </c>
      <c r="G107" s="526">
        <f>1/52*G16</f>
      </c>
      <c r="H107" s="526">
        <f>1/52*H16</f>
      </c>
      <c r="I107" s="526">
        <f>1/52*I16</f>
      </c>
      <c r="J107" s="526">
        <f>1/52*J16</f>
      </c>
      <c r="K107" s="526">
        <f>1/52*K16</f>
      </c>
      <c r="L107" s="526">
        <f>1/52*L16</f>
      </c>
      <c r="M107" s="526">
        <f>1/52*M16</f>
      </c>
      <c r="N107" s="526">
        <f>1/52*N16</f>
      </c>
      <c r="O107" s="526">
        <f>1/52*O16</f>
      </c>
      <c r="P107" s="526">
        <f>1/52*P16</f>
      </c>
      <c r="Q107" s="526">
        <f>1/52*Q16</f>
      </c>
      <c r="R107" s="526">
        <f>1/52*R16</f>
      </c>
      <c r="S107" s="526">
        <f>1/52*S16</f>
      </c>
      <c r="T107" s="526">
        <f>1/52*T16</f>
      </c>
      <c r="U107" s="526">
        <f>1/52*U16</f>
      </c>
      <c r="V107" s="526">
        <f>1/52*V16</f>
      </c>
      <c r="W107" s="526">
        <f>1/52*W16</f>
      </c>
      <c r="X107" s="526">
        <f>1/52*X16</f>
      </c>
      <c r="Y107" s="526">
        <f>1/52*Y16</f>
      </c>
      <c r="Z107" s="526">
        <f>1/52*Z16</f>
      </c>
      <c r="AA107" s="526">
        <f>1/52*AA16</f>
      </c>
      <c r="AB107" s="526">
        <f>1/52*AB16</f>
      </c>
      <c r="AC107" s="526">
        <f>1/52*AC16</f>
      </c>
      <c r="AD107" s="526">
        <f>1/52*AD16</f>
      </c>
      <c r="AE107" s="526">
        <f>1/52*AE16</f>
      </c>
      <c r="AF107" s="526">
        <f>1/52*AF16</f>
      </c>
      <c r="AG107" s="526">
        <f>1/52*AG16</f>
      </c>
      <c r="AH107" s="526">
        <f>1/52*AH16</f>
      </c>
      <c r="AI107" s="526">
        <f>1/52*AI16</f>
      </c>
      <c r="AJ107" s="526">
        <f>1/52*AJ16</f>
      </c>
      <c r="AK107" s="526">
        <f>1/52*AK16</f>
      </c>
      <c r="AL107" s="526">
        <f>1/52*AL16</f>
      </c>
      <c r="AM107" s="526">
        <f>1/52*AM16</f>
      </c>
      <c r="AN107" s="526">
        <f>1/52*AN16</f>
      </c>
      <c r="AO107" s="526">
        <f>1/52*AO16</f>
      </c>
      <c r="AP107" s="526">
        <f>1/52*AP16</f>
      </c>
      <c r="AQ107" s="526">
        <f>1/52*AQ16</f>
      </c>
      <c r="AR107" s="526">
        <f>1/52*AR16</f>
      </c>
      <c r="AS107" s="526">
        <f>1/52*AS16</f>
      </c>
      <c r="AT107" s="526">
        <f>1/52*AT16</f>
      </c>
      <c r="AU107" s="526">
        <f>1/52*AU16</f>
      </c>
      <c r="AV107" s="526">
        <f>1/52*AV16</f>
      </c>
      <c r="AW107" s="526">
        <f>1/52*AW16</f>
      </c>
      <c r="AX107" s="526">
        <f>1/52*AX16</f>
      </c>
      <c r="AY107" s="526">
        <f>1/52*AY16</f>
      </c>
      <c r="AZ107" s="526">
        <f>1/52*AZ16</f>
      </c>
      <c r="BA107" s="526">
        <f>1/52*BA16</f>
      </c>
      <c r="BB107" s="526">
        <f>1/52*BB16</f>
      </c>
      <c r="BC107" s="3"/>
      <c r="BD107" s="3"/>
      <c r="BE107" s="3"/>
    </row>
    <row x14ac:dyDescent="0.25" r="108" customHeight="1" ht="19.5" hidden="1">
      <c r="A108" s="3"/>
      <c r="B108" s="3"/>
      <c r="C108" s="332"/>
      <c r="D108" s="8"/>
      <c r="E108" s="8"/>
      <c r="F108" s="8"/>
      <c r="G108" s="332"/>
      <c r="H108" s="332"/>
      <c r="I108" s="8"/>
      <c r="J108" s="8"/>
      <c r="K108" s="8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32"/>
      <c r="AB108" s="332"/>
      <c r="AC108" s="332"/>
      <c r="AD108" s="332"/>
      <c r="AE108" s="332"/>
      <c r="AF108" s="332"/>
      <c r="AG108" s="332"/>
      <c r="AH108" s="332"/>
      <c r="AI108" s="332"/>
      <c r="AJ108" s="332"/>
      <c r="AK108" s="332"/>
      <c r="AL108" s="332"/>
      <c r="AM108" s="332"/>
      <c r="AN108" s="332"/>
      <c r="AO108" s="332"/>
      <c r="AP108" s="332"/>
      <c r="AQ108" s="332"/>
      <c r="AR108" s="332"/>
      <c r="AS108" s="332"/>
      <c r="AT108" s="332"/>
      <c r="AU108" s="332"/>
      <c r="AV108" s="332"/>
      <c r="AW108" s="332"/>
      <c r="AX108" s="332"/>
      <c r="AY108" s="332"/>
      <c r="AZ108" s="332"/>
      <c r="BA108" s="332"/>
      <c r="BB108" s="332"/>
      <c r="BC108" s="3"/>
      <c r="BD108" s="3"/>
      <c r="BE108" s="3"/>
    </row>
    <row x14ac:dyDescent="0.25" r="109" customHeight="1" ht="19.5" hidden="1">
      <c r="A109" s="3"/>
      <c r="B109" s="3"/>
      <c r="C109" s="332"/>
      <c r="D109" s="8"/>
      <c r="E109" s="8"/>
      <c r="F109" s="8"/>
      <c r="G109" s="332"/>
      <c r="H109" s="332"/>
      <c r="I109" s="8"/>
      <c r="J109" s="8"/>
      <c r="K109" s="8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32"/>
      <c r="AB109" s="332"/>
      <c r="AC109" s="332"/>
      <c r="AD109" s="332"/>
      <c r="AE109" s="332"/>
      <c r="AF109" s="332"/>
      <c r="AG109" s="332"/>
      <c r="AH109" s="332"/>
      <c r="AI109" s="332"/>
      <c r="AJ109" s="332"/>
      <c r="AK109" s="332"/>
      <c r="AL109" s="332"/>
      <c r="AM109" s="332"/>
      <c r="AN109" s="332"/>
      <c r="AO109" s="332"/>
      <c r="AP109" s="332"/>
      <c r="AQ109" s="332"/>
      <c r="AR109" s="332"/>
      <c r="AS109" s="332"/>
      <c r="AT109" s="332"/>
      <c r="AU109" s="332"/>
      <c r="AV109" s="332"/>
      <c r="AW109" s="332"/>
      <c r="AX109" s="332"/>
      <c r="AY109" s="332"/>
      <c r="AZ109" s="332"/>
      <c r="BA109" s="332"/>
      <c r="BB109" s="332"/>
      <c r="BC109" s="3"/>
      <c r="BD109" s="3"/>
      <c r="BE109" s="3"/>
    </row>
    <row x14ac:dyDescent="0.25" r="110" customHeight="1" ht="19.5" hidden="1">
      <c r="A110" s="3"/>
      <c r="B110" s="3"/>
      <c r="C110" s="332"/>
      <c r="D110" s="8"/>
      <c r="E110" s="8"/>
      <c r="F110" s="8"/>
      <c r="G110" s="332"/>
      <c r="H110" s="332"/>
      <c r="I110" s="8"/>
      <c r="J110" s="8"/>
      <c r="K110" s="8"/>
      <c r="L110" s="332"/>
      <c r="M110" s="332"/>
      <c r="N110" s="332"/>
      <c r="O110" s="332"/>
      <c r="P110" s="332"/>
      <c r="Q110" s="332"/>
      <c r="R110" s="332"/>
      <c r="S110" s="332"/>
      <c r="T110" s="332"/>
      <c r="U110" s="332"/>
      <c r="V110" s="332"/>
      <c r="W110" s="332"/>
      <c r="X110" s="332"/>
      <c r="Y110" s="332"/>
      <c r="Z110" s="332"/>
      <c r="AA110" s="332"/>
      <c r="AB110" s="332"/>
      <c r="AC110" s="332"/>
      <c r="AD110" s="332"/>
      <c r="AE110" s="332"/>
      <c r="AF110" s="332"/>
      <c r="AG110" s="332"/>
      <c r="AH110" s="332"/>
      <c r="AI110" s="332"/>
      <c r="AJ110" s="332"/>
      <c r="AK110" s="332"/>
      <c r="AL110" s="332"/>
      <c r="AM110" s="332"/>
      <c r="AN110" s="332"/>
      <c r="AO110" s="332"/>
      <c r="AP110" s="332"/>
      <c r="AQ110" s="332"/>
      <c r="AR110" s="332"/>
      <c r="AS110" s="332"/>
      <c r="AT110" s="332"/>
      <c r="AU110" s="332"/>
      <c r="AV110" s="332"/>
      <c r="AW110" s="332"/>
      <c r="AX110" s="332"/>
      <c r="AY110" s="332"/>
      <c r="AZ110" s="332"/>
      <c r="BA110" s="332"/>
      <c r="BB110" s="332"/>
      <c r="BC110" s="3"/>
      <c r="BD110" s="3"/>
      <c r="BE110" s="3"/>
    </row>
    <row x14ac:dyDescent="0.25" r="111" customHeight="1" ht="19.5" hidden="1">
      <c r="A111" s="3"/>
      <c r="B111" s="3"/>
      <c r="C111" s="332"/>
      <c r="D111" s="8"/>
      <c r="E111" s="8"/>
      <c r="F111" s="8"/>
      <c r="G111" s="332"/>
      <c r="H111" s="332"/>
      <c r="I111" s="8"/>
      <c r="J111" s="8"/>
      <c r="K111" s="8"/>
      <c r="L111" s="332"/>
      <c r="M111" s="332"/>
      <c r="N111" s="332"/>
      <c r="O111" s="332"/>
      <c r="P111" s="332"/>
      <c r="Q111" s="332"/>
      <c r="R111" s="332"/>
      <c r="S111" s="332"/>
      <c r="T111" s="332"/>
      <c r="U111" s="332"/>
      <c r="V111" s="332"/>
      <c r="W111" s="332"/>
      <c r="X111" s="332"/>
      <c r="Y111" s="332"/>
      <c r="Z111" s="332"/>
      <c r="AA111" s="332"/>
      <c r="AB111" s="332"/>
      <c r="AC111" s="332"/>
      <c r="AD111" s="332"/>
      <c r="AE111" s="332"/>
      <c r="AF111" s="332"/>
      <c r="AG111" s="332"/>
      <c r="AH111" s="332"/>
      <c r="AI111" s="332"/>
      <c r="AJ111" s="332"/>
      <c r="AK111" s="332"/>
      <c r="AL111" s="332"/>
      <c r="AM111" s="332"/>
      <c r="AN111" s="332"/>
      <c r="AO111" s="332"/>
      <c r="AP111" s="332"/>
      <c r="AQ111" s="332"/>
      <c r="AR111" s="332"/>
      <c r="AS111" s="332"/>
      <c r="AT111" s="332"/>
      <c r="AU111" s="332"/>
      <c r="AV111" s="332"/>
      <c r="AW111" s="332"/>
      <c r="AX111" s="332"/>
      <c r="AY111" s="332"/>
      <c r="AZ111" s="332"/>
      <c r="BA111" s="332"/>
      <c r="BB111" s="332"/>
      <c r="BC111" s="3"/>
      <c r="BD111" s="3"/>
      <c r="BE111" s="3"/>
    </row>
    <row x14ac:dyDescent="0.25" r="112" customHeight="1" ht="19.5" hidden="1">
      <c r="A112" s="3"/>
      <c r="B112" s="3"/>
      <c r="C112" s="332"/>
      <c r="D112" s="8"/>
      <c r="E112" s="8"/>
      <c r="F112" s="8"/>
      <c r="G112" s="332"/>
      <c r="H112" s="332"/>
      <c r="I112" s="8"/>
      <c r="J112" s="8"/>
      <c r="K112" s="8"/>
      <c r="L112" s="332"/>
      <c r="M112" s="332"/>
      <c r="N112" s="332"/>
      <c r="O112" s="332"/>
      <c r="P112" s="332"/>
      <c r="Q112" s="332"/>
      <c r="R112" s="332"/>
      <c r="S112" s="332"/>
      <c r="T112" s="332"/>
      <c r="U112" s="332"/>
      <c r="V112" s="332"/>
      <c r="W112" s="332"/>
      <c r="X112" s="332"/>
      <c r="Y112" s="332"/>
      <c r="Z112" s="332"/>
      <c r="AA112" s="332"/>
      <c r="AB112" s="332"/>
      <c r="AC112" s="332"/>
      <c r="AD112" s="332"/>
      <c r="AE112" s="332"/>
      <c r="AF112" s="332"/>
      <c r="AG112" s="332"/>
      <c r="AH112" s="332"/>
      <c r="AI112" s="332"/>
      <c r="AJ112" s="332"/>
      <c r="AK112" s="332"/>
      <c r="AL112" s="332"/>
      <c r="AM112" s="332"/>
      <c r="AN112" s="332"/>
      <c r="AO112" s="332"/>
      <c r="AP112" s="332"/>
      <c r="AQ112" s="332"/>
      <c r="AR112" s="332"/>
      <c r="AS112" s="332"/>
      <c r="AT112" s="332"/>
      <c r="AU112" s="332"/>
      <c r="AV112" s="332"/>
      <c r="AW112" s="332"/>
      <c r="AX112" s="332"/>
      <c r="AY112" s="332"/>
      <c r="AZ112" s="332"/>
      <c r="BA112" s="332"/>
      <c r="BB112" s="332"/>
      <c r="BC112" s="3"/>
      <c r="BD112" s="3"/>
      <c r="BE112" s="3"/>
    </row>
    <row x14ac:dyDescent="0.25" r="113" customHeight="1" ht="19.5" hidden="1">
      <c r="A113" s="3"/>
      <c r="B113" s="3"/>
      <c r="C113" s="332"/>
      <c r="D113" s="8"/>
      <c r="E113" s="8"/>
      <c r="F113" s="8"/>
      <c r="G113" s="332"/>
      <c r="H113" s="332"/>
      <c r="I113" s="8"/>
      <c r="J113" s="8"/>
      <c r="K113" s="8"/>
      <c r="L113" s="332"/>
      <c r="M113" s="332"/>
      <c r="N113" s="332"/>
      <c r="O113" s="332"/>
      <c r="P113" s="332"/>
      <c r="Q113" s="332"/>
      <c r="R113" s="332"/>
      <c r="S113" s="332"/>
      <c r="T113" s="332"/>
      <c r="U113" s="332"/>
      <c r="V113" s="332"/>
      <c r="W113" s="332"/>
      <c r="X113" s="332"/>
      <c r="Y113" s="332"/>
      <c r="Z113" s="332"/>
      <c r="AA113" s="332"/>
      <c r="AB113" s="332"/>
      <c r="AC113" s="332"/>
      <c r="AD113" s="332"/>
      <c r="AE113" s="332"/>
      <c r="AF113" s="332"/>
      <c r="AG113" s="332"/>
      <c r="AH113" s="332"/>
      <c r="AI113" s="332"/>
      <c r="AJ113" s="332"/>
      <c r="AK113" s="332"/>
      <c r="AL113" s="332"/>
      <c r="AM113" s="332"/>
      <c r="AN113" s="332"/>
      <c r="AO113" s="332"/>
      <c r="AP113" s="332"/>
      <c r="AQ113" s="332"/>
      <c r="AR113" s="332"/>
      <c r="AS113" s="332"/>
      <c r="AT113" s="332"/>
      <c r="AU113" s="332"/>
      <c r="AV113" s="332"/>
      <c r="AW113" s="332"/>
      <c r="AX113" s="332"/>
      <c r="AY113" s="332"/>
      <c r="AZ113" s="332"/>
      <c r="BA113" s="332"/>
      <c r="BB113" s="332"/>
      <c r="BC113" s="3"/>
      <c r="BD113" s="3"/>
      <c r="BE113" s="3"/>
    </row>
    <row x14ac:dyDescent="0.25" r="114" customHeight="1" ht="19.5" hidden="1">
      <c r="A114" s="3"/>
      <c r="B114" s="3"/>
      <c r="C114" s="332"/>
      <c r="D114" s="8"/>
      <c r="E114" s="8"/>
      <c r="F114" s="8"/>
      <c r="G114" s="332"/>
      <c r="H114" s="332"/>
      <c r="I114" s="8"/>
      <c r="J114" s="8"/>
      <c r="K114" s="8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32"/>
      <c r="AB114" s="332"/>
      <c r="AC114" s="332"/>
      <c r="AD114" s="332"/>
      <c r="AE114" s="332"/>
      <c r="AF114" s="332"/>
      <c r="AG114" s="332"/>
      <c r="AH114" s="332"/>
      <c r="AI114" s="332"/>
      <c r="AJ114" s="332"/>
      <c r="AK114" s="332"/>
      <c r="AL114" s="332"/>
      <c r="AM114" s="332"/>
      <c r="AN114" s="332"/>
      <c r="AO114" s="332"/>
      <c r="AP114" s="332"/>
      <c r="AQ114" s="332"/>
      <c r="AR114" s="332"/>
      <c r="AS114" s="332"/>
      <c r="AT114" s="332"/>
      <c r="AU114" s="332"/>
      <c r="AV114" s="332"/>
      <c r="AW114" s="332"/>
      <c r="AX114" s="332"/>
      <c r="AY114" s="332"/>
      <c r="AZ114" s="332"/>
      <c r="BA114" s="332"/>
      <c r="BB114" s="332"/>
      <c r="BC114" s="3"/>
      <c r="BD114" s="3"/>
      <c r="BE114" s="3"/>
    </row>
    <row x14ac:dyDescent="0.25" r="115" customHeight="1" ht="19.5" hidden="1">
      <c r="A115" s="3"/>
      <c r="B115" s="3"/>
      <c r="C115" s="332"/>
      <c r="D115" s="8"/>
      <c r="E115" s="8"/>
      <c r="F115" s="8"/>
      <c r="G115" s="332"/>
      <c r="H115" s="332"/>
      <c r="I115" s="8"/>
      <c r="J115" s="8"/>
      <c r="K115" s="8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32"/>
      <c r="AB115" s="332"/>
      <c r="AC115" s="332"/>
      <c r="AD115" s="332"/>
      <c r="AE115" s="332"/>
      <c r="AF115" s="332"/>
      <c r="AG115" s="332"/>
      <c r="AH115" s="332"/>
      <c r="AI115" s="332"/>
      <c r="AJ115" s="332"/>
      <c r="AK115" s="332"/>
      <c r="AL115" s="332"/>
      <c r="AM115" s="332"/>
      <c r="AN115" s="332"/>
      <c r="AO115" s="332"/>
      <c r="AP115" s="332"/>
      <c r="AQ115" s="332"/>
      <c r="AR115" s="332"/>
      <c r="AS115" s="332"/>
      <c r="AT115" s="332"/>
      <c r="AU115" s="332"/>
      <c r="AV115" s="332"/>
      <c r="AW115" s="332"/>
      <c r="AX115" s="332"/>
      <c r="AY115" s="332"/>
      <c r="AZ115" s="332"/>
      <c r="BA115" s="332"/>
      <c r="BB115" s="332"/>
      <c r="BC115" s="3"/>
      <c r="BD115" s="3"/>
      <c r="BE115" s="3"/>
    </row>
    <row x14ac:dyDescent="0.25" r="116" customHeight="1" ht="19.5" hidden="1">
      <c r="A116" s="3"/>
      <c r="B116" s="3"/>
      <c r="C116" s="332"/>
      <c r="D116" s="8"/>
      <c r="E116" s="8"/>
      <c r="F116" s="8"/>
      <c r="G116" s="332"/>
      <c r="H116" s="332"/>
      <c r="I116" s="8"/>
      <c r="J116" s="8"/>
      <c r="K116" s="8"/>
      <c r="L116" s="332"/>
      <c r="M116" s="332"/>
      <c r="N116" s="332"/>
      <c r="O116" s="332"/>
      <c r="P116" s="332"/>
      <c r="Q116" s="332"/>
      <c r="R116" s="332"/>
      <c r="S116" s="332"/>
      <c r="T116" s="332"/>
      <c r="U116" s="332"/>
      <c r="V116" s="332"/>
      <c r="W116" s="332"/>
      <c r="X116" s="332"/>
      <c r="Y116" s="332"/>
      <c r="Z116" s="332"/>
      <c r="AA116" s="332"/>
      <c r="AB116" s="332"/>
      <c r="AC116" s="332"/>
      <c r="AD116" s="332"/>
      <c r="AE116" s="332"/>
      <c r="AF116" s="332"/>
      <c r="AG116" s="332"/>
      <c r="AH116" s="332"/>
      <c r="AI116" s="332"/>
      <c r="AJ116" s="332"/>
      <c r="AK116" s="332"/>
      <c r="AL116" s="332"/>
      <c r="AM116" s="332"/>
      <c r="AN116" s="332"/>
      <c r="AO116" s="332"/>
      <c r="AP116" s="332"/>
      <c r="AQ116" s="332"/>
      <c r="AR116" s="332"/>
      <c r="AS116" s="332"/>
      <c r="AT116" s="332"/>
      <c r="AU116" s="332"/>
      <c r="AV116" s="332"/>
      <c r="AW116" s="332"/>
      <c r="AX116" s="332"/>
      <c r="AY116" s="332"/>
      <c r="AZ116" s="332"/>
      <c r="BA116" s="332"/>
      <c r="BB116" s="332"/>
      <c r="BC116" s="3"/>
      <c r="BD116" s="3"/>
      <c r="BE116" s="3"/>
    </row>
    <row x14ac:dyDescent="0.25" r="117" customHeight="1" ht="19.5" hidden="1">
      <c r="A117" s="3"/>
      <c r="B117" s="3"/>
      <c r="C117" s="332"/>
      <c r="D117" s="8"/>
      <c r="E117" s="8"/>
      <c r="F117" s="8"/>
      <c r="G117" s="332"/>
      <c r="H117" s="332"/>
      <c r="I117" s="8"/>
      <c r="J117" s="8"/>
      <c r="K117" s="8"/>
      <c r="L117" s="332"/>
      <c r="M117" s="332"/>
      <c r="N117" s="332"/>
      <c r="O117" s="332"/>
      <c r="P117" s="332"/>
      <c r="Q117" s="332"/>
      <c r="R117" s="332"/>
      <c r="S117" s="332"/>
      <c r="T117" s="332"/>
      <c r="U117" s="332"/>
      <c r="V117" s="332"/>
      <c r="W117" s="332"/>
      <c r="X117" s="332"/>
      <c r="Y117" s="332"/>
      <c r="Z117" s="332"/>
      <c r="AA117" s="332"/>
      <c r="AB117" s="332"/>
      <c r="AC117" s="332"/>
      <c r="AD117" s="332"/>
      <c r="AE117" s="332"/>
      <c r="AF117" s="332"/>
      <c r="AG117" s="332"/>
      <c r="AH117" s="332"/>
      <c r="AI117" s="332"/>
      <c r="AJ117" s="332"/>
      <c r="AK117" s="332"/>
      <c r="AL117" s="332"/>
      <c r="AM117" s="332"/>
      <c r="AN117" s="332"/>
      <c r="AO117" s="332"/>
      <c r="AP117" s="332"/>
      <c r="AQ117" s="332"/>
      <c r="AR117" s="332"/>
      <c r="AS117" s="332"/>
      <c r="AT117" s="332"/>
      <c r="AU117" s="332"/>
      <c r="AV117" s="332"/>
      <c r="AW117" s="332"/>
      <c r="AX117" s="332"/>
      <c r="AY117" s="332"/>
      <c r="AZ117" s="332"/>
      <c r="BA117" s="332"/>
      <c r="BB117" s="332"/>
      <c r="BC117" s="3"/>
      <c r="BD117" s="3"/>
      <c r="BE117" s="3"/>
    </row>
    <row x14ac:dyDescent="0.25" r="118" customHeight="1" ht="19.5" hidden="1">
      <c r="A118" s="3"/>
      <c r="B118" s="3"/>
      <c r="C118" s="332"/>
      <c r="D118" s="8"/>
      <c r="E118" s="8"/>
      <c r="F118" s="8"/>
      <c r="G118" s="332"/>
      <c r="H118" s="332"/>
      <c r="I118" s="8"/>
      <c r="J118" s="8"/>
      <c r="K118" s="8"/>
      <c r="L118" s="332"/>
      <c r="M118" s="332"/>
      <c r="N118" s="332"/>
      <c r="O118" s="332"/>
      <c r="P118" s="332"/>
      <c r="Q118" s="332"/>
      <c r="R118" s="332"/>
      <c r="S118" s="332"/>
      <c r="T118" s="332"/>
      <c r="U118" s="332"/>
      <c r="V118" s="332"/>
      <c r="W118" s="332"/>
      <c r="X118" s="332"/>
      <c r="Y118" s="332"/>
      <c r="Z118" s="332"/>
      <c r="AA118" s="332"/>
      <c r="AB118" s="332"/>
      <c r="AC118" s="332"/>
      <c r="AD118" s="332"/>
      <c r="AE118" s="332"/>
      <c r="AF118" s="332"/>
      <c r="AG118" s="332"/>
      <c r="AH118" s="332"/>
      <c r="AI118" s="332"/>
      <c r="AJ118" s="332"/>
      <c r="AK118" s="332"/>
      <c r="AL118" s="332"/>
      <c r="AM118" s="332"/>
      <c r="AN118" s="332"/>
      <c r="AO118" s="332"/>
      <c r="AP118" s="332"/>
      <c r="AQ118" s="332"/>
      <c r="AR118" s="332"/>
      <c r="AS118" s="332"/>
      <c r="AT118" s="332"/>
      <c r="AU118" s="332"/>
      <c r="AV118" s="332"/>
      <c r="AW118" s="332"/>
      <c r="AX118" s="332"/>
      <c r="AY118" s="332"/>
      <c r="AZ118" s="332"/>
      <c r="BA118" s="332"/>
      <c r="BB118" s="332"/>
      <c r="BC118" s="3"/>
      <c r="BD118" s="3"/>
      <c r="BE118" s="3"/>
    </row>
    <row x14ac:dyDescent="0.25" r="119" customHeight="1" ht="19.5" hidden="1">
      <c r="A119" s="3"/>
      <c r="B119" s="3"/>
      <c r="C119" s="332"/>
      <c r="D119" s="8"/>
      <c r="E119" s="8"/>
      <c r="F119" s="8"/>
      <c r="G119" s="332"/>
      <c r="H119" s="332"/>
      <c r="I119" s="8"/>
      <c r="J119" s="8"/>
      <c r="K119" s="8"/>
      <c r="L119" s="332"/>
      <c r="M119" s="332"/>
      <c r="N119" s="332"/>
      <c r="O119" s="332"/>
      <c r="P119" s="332"/>
      <c r="Q119" s="332"/>
      <c r="R119" s="332"/>
      <c r="S119" s="332"/>
      <c r="T119" s="332"/>
      <c r="U119" s="332"/>
      <c r="V119" s="332"/>
      <c r="W119" s="332"/>
      <c r="X119" s="332"/>
      <c r="Y119" s="332"/>
      <c r="Z119" s="332"/>
      <c r="AA119" s="332"/>
      <c r="AB119" s="332"/>
      <c r="AC119" s="332"/>
      <c r="AD119" s="332"/>
      <c r="AE119" s="332"/>
      <c r="AF119" s="332"/>
      <c r="AG119" s="332"/>
      <c r="AH119" s="332"/>
      <c r="AI119" s="332"/>
      <c r="AJ119" s="332"/>
      <c r="AK119" s="332"/>
      <c r="AL119" s="332"/>
      <c r="AM119" s="332"/>
      <c r="AN119" s="332"/>
      <c r="AO119" s="332"/>
      <c r="AP119" s="332"/>
      <c r="AQ119" s="332"/>
      <c r="AR119" s="332"/>
      <c r="AS119" s="332"/>
      <c r="AT119" s="332"/>
      <c r="AU119" s="332"/>
      <c r="AV119" s="332"/>
      <c r="AW119" s="332"/>
      <c r="AX119" s="332"/>
      <c r="AY119" s="332"/>
      <c r="AZ119" s="332"/>
      <c r="BA119" s="332"/>
      <c r="BB119" s="332"/>
      <c r="BC119" s="3"/>
      <c r="BD119" s="3"/>
      <c r="BE119" s="3"/>
    </row>
    <row x14ac:dyDescent="0.25" r="120" customHeight="1" ht="19.5" hidden="1">
      <c r="A120" s="3"/>
      <c r="B120" s="3"/>
      <c r="C120" s="332"/>
      <c r="D120" s="8"/>
      <c r="E120" s="8"/>
      <c r="F120" s="8"/>
      <c r="G120" s="332"/>
      <c r="H120" s="332"/>
      <c r="I120" s="8"/>
      <c r="J120" s="8"/>
      <c r="K120" s="8"/>
      <c r="L120" s="332"/>
      <c r="M120" s="332"/>
      <c r="N120" s="332"/>
      <c r="O120" s="332"/>
      <c r="P120" s="332"/>
      <c r="Q120" s="332"/>
      <c r="R120" s="332"/>
      <c r="S120" s="332"/>
      <c r="T120" s="332"/>
      <c r="U120" s="332"/>
      <c r="V120" s="332"/>
      <c r="W120" s="332"/>
      <c r="X120" s="332"/>
      <c r="Y120" s="332"/>
      <c r="Z120" s="332"/>
      <c r="AA120" s="332"/>
      <c r="AB120" s="332"/>
      <c r="AC120" s="332"/>
      <c r="AD120" s="332"/>
      <c r="AE120" s="332"/>
      <c r="AF120" s="332"/>
      <c r="AG120" s="332"/>
      <c r="AH120" s="332"/>
      <c r="AI120" s="332"/>
      <c r="AJ120" s="332"/>
      <c r="AK120" s="332"/>
      <c r="AL120" s="332"/>
      <c r="AM120" s="332"/>
      <c r="AN120" s="332"/>
      <c r="AO120" s="332"/>
      <c r="AP120" s="332"/>
      <c r="AQ120" s="332"/>
      <c r="AR120" s="332"/>
      <c r="AS120" s="332"/>
      <c r="AT120" s="332"/>
      <c r="AU120" s="332"/>
      <c r="AV120" s="332"/>
      <c r="AW120" s="332"/>
      <c r="AX120" s="332"/>
      <c r="AY120" s="332"/>
      <c r="AZ120" s="332"/>
      <c r="BA120" s="332"/>
      <c r="BB120" s="332"/>
      <c r="BC120" s="3"/>
      <c r="BD120" s="3"/>
      <c r="BE120" s="3"/>
    </row>
    <row x14ac:dyDescent="0.25" r="121" customHeight="1" ht="19.5" hidden="1">
      <c r="A121" s="3"/>
      <c r="B121" s="3"/>
      <c r="C121" s="332"/>
      <c r="D121" s="8"/>
      <c r="E121" s="8"/>
      <c r="F121" s="8"/>
      <c r="G121" s="332"/>
      <c r="H121" s="332"/>
      <c r="I121" s="8"/>
      <c r="J121" s="8"/>
      <c r="K121" s="8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332"/>
      <c r="AF121" s="332"/>
      <c r="AG121" s="332"/>
      <c r="AH121" s="332"/>
      <c r="AI121" s="332"/>
      <c r="AJ121" s="332"/>
      <c r="AK121" s="332"/>
      <c r="AL121" s="332"/>
      <c r="AM121" s="332"/>
      <c r="AN121" s="332"/>
      <c r="AO121" s="332"/>
      <c r="AP121" s="332"/>
      <c r="AQ121" s="332"/>
      <c r="AR121" s="332"/>
      <c r="AS121" s="332"/>
      <c r="AT121" s="332"/>
      <c r="AU121" s="332"/>
      <c r="AV121" s="332"/>
      <c r="AW121" s="332"/>
      <c r="AX121" s="332"/>
      <c r="AY121" s="332"/>
      <c r="AZ121" s="332"/>
      <c r="BA121" s="332"/>
      <c r="BB121" s="332"/>
      <c r="BC121" s="3"/>
      <c r="BD121" s="3"/>
      <c r="BE121" s="3"/>
    </row>
    <row x14ac:dyDescent="0.25" r="122" customHeight="1" ht="19.5" hidden="1">
      <c r="A122" s="3"/>
      <c r="B122" s="3"/>
      <c r="C122" s="332"/>
      <c r="D122" s="8"/>
      <c r="E122" s="8"/>
      <c r="F122" s="8"/>
      <c r="G122" s="332"/>
      <c r="H122" s="332"/>
      <c r="I122" s="8"/>
      <c r="J122" s="8"/>
      <c r="K122" s="8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2"/>
      <c r="AJ122" s="332"/>
      <c r="AK122" s="332"/>
      <c r="AL122" s="332"/>
      <c r="AM122" s="332"/>
      <c r="AN122" s="332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332"/>
      <c r="AY122" s="332"/>
      <c r="AZ122" s="332"/>
      <c r="BA122" s="332"/>
      <c r="BB122" s="332"/>
      <c r="BC122" s="3"/>
      <c r="BD122" s="3"/>
      <c r="BE122" s="3"/>
    </row>
    <row x14ac:dyDescent="0.25" r="123" customHeight="1" ht="19.5" hidden="1">
      <c r="A123" s="3"/>
      <c r="B123" s="3"/>
      <c r="C123" s="332"/>
      <c r="D123" s="8"/>
      <c r="E123" s="8"/>
      <c r="F123" s="8"/>
      <c r="G123" s="332"/>
      <c r="H123" s="332"/>
      <c r="I123" s="8"/>
      <c r="J123" s="8"/>
      <c r="K123" s="8"/>
      <c r="L123" s="332"/>
      <c r="M123" s="332"/>
      <c r="N123" s="332"/>
      <c r="O123" s="332"/>
      <c r="P123" s="332"/>
      <c r="Q123" s="332"/>
      <c r="R123" s="332"/>
      <c r="S123" s="332"/>
      <c r="T123" s="332"/>
      <c r="U123" s="332"/>
      <c r="V123" s="332"/>
      <c r="W123" s="332"/>
      <c r="X123" s="332"/>
      <c r="Y123" s="332"/>
      <c r="Z123" s="332"/>
      <c r="AA123" s="332"/>
      <c r="AB123" s="332"/>
      <c r="AC123" s="332"/>
      <c r="AD123" s="332"/>
      <c r="AE123" s="332"/>
      <c r="AF123" s="332"/>
      <c r="AG123" s="332"/>
      <c r="AH123" s="332"/>
      <c r="AI123" s="332"/>
      <c r="AJ123" s="332"/>
      <c r="AK123" s="332"/>
      <c r="AL123" s="332"/>
      <c r="AM123" s="332"/>
      <c r="AN123" s="332"/>
      <c r="AO123" s="332"/>
      <c r="AP123" s="332"/>
      <c r="AQ123" s="332"/>
      <c r="AR123" s="332"/>
      <c r="AS123" s="332"/>
      <c r="AT123" s="332"/>
      <c r="AU123" s="332"/>
      <c r="AV123" s="332"/>
      <c r="AW123" s="332"/>
      <c r="AX123" s="332"/>
      <c r="AY123" s="332"/>
      <c r="AZ123" s="332"/>
      <c r="BA123" s="332"/>
      <c r="BB123" s="332"/>
      <c r="BC123" s="3"/>
      <c r="BD123" s="3"/>
      <c r="BE123" s="3"/>
    </row>
    <row x14ac:dyDescent="0.25" r="124" customHeight="1" ht="19.5" hidden="1">
      <c r="A124" s="3"/>
      <c r="B124" s="3"/>
      <c r="C124" s="332"/>
      <c r="D124" s="8"/>
      <c r="E124" s="8"/>
      <c r="F124" s="8"/>
      <c r="G124" s="332"/>
      <c r="H124" s="332"/>
      <c r="I124" s="8"/>
      <c r="J124" s="8"/>
      <c r="K124" s="8"/>
      <c r="L124" s="332"/>
      <c r="M124" s="332"/>
      <c r="N124" s="332"/>
      <c r="O124" s="332"/>
      <c r="P124" s="332"/>
      <c r="Q124" s="332"/>
      <c r="R124" s="332"/>
      <c r="S124" s="332"/>
      <c r="T124" s="332"/>
      <c r="U124" s="332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332"/>
      <c r="AN124" s="332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332"/>
      <c r="AY124" s="332"/>
      <c r="AZ124" s="332"/>
      <c r="BA124" s="332"/>
      <c r="BB124" s="332"/>
      <c r="BC124" s="3"/>
      <c r="BD124" s="3"/>
      <c r="BE124" s="3"/>
    </row>
    <row x14ac:dyDescent="0.25" r="125" customHeight="1" ht="19.5" hidden="1">
      <c r="A125" s="3"/>
      <c r="B125" s="3"/>
      <c r="C125" s="332"/>
      <c r="D125" s="8"/>
      <c r="E125" s="8"/>
      <c r="F125" s="8"/>
      <c r="G125" s="332"/>
      <c r="H125" s="332"/>
      <c r="I125" s="8"/>
      <c r="J125" s="8"/>
      <c r="K125" s="8"/>
      <c r="L125" s="332"/>
      <c r="M125" s="332"/>
      <c r="N125" s="332"/>
      <c r="O125" s="332"/>
      <c r="P125" s="332"/>
      <c r="Q125" s="332"/>
      <c r="R125" s="332"/>
      <c r="S125" s="332"/>
      <c r="T125" s="332"/>
      <c r="U125" s="332"/>
      <c r="V125" s="332"/>
      <c r="W125" s="332"/>
      <c r="X125" s="332"/>
      <c r="Y125" s="332"/>
      <c r="Z125" s="332"/>
      <c r="AA125" s="332"/>
      <c r="AB125" s="332"/>
      <c r="AC125" s="332"/>
      <c r="AD125" s="332"/>
      <c r="AE125" s="332"/>
      <c r="AF125" s="332"/>
      <c r="AG125" s="332"/>
      <c r="AH125" s="332"/>
      <c r="AI125" s="332"/>
      <c r="AJ125" s="332"/>
      <c r="AK125" s="332"/>
      <c r="AL125" s="332"/>
      <c r="AM125" s="332"/>
      <c r="AN125" s="332"/>
      <c r="AO125" s="332"/>
      <c r="AP125" s="332"/>
      <c r="AQ125" s="332"/>
      <c r="AR125" s="332"/>
      <c r="AS125" s="332"/>
      <c r="AT125" s="332"/>
      <c r="AU125" s="332"/>
      <c r="AV125" s="332"/>
      <c r="AW125" s="332"/>
      <c r="AX125" s="332"/>
      <c r="AY125" s="332"/>
      <c r="AZ125" s="332"/>
      <c r="BA125" s="332"/>
      <c r="BB125" s="332"/>
      <c r="BC125" s="3"/>
      <c r="BD125" s="3"/>
      <c r="BE125" s="3"/>
    </row>
    <row x14ac:dyDescent="0.25" r="126" customHeight="1" ht="19.5" hidden="1">
      <c r="A126" s="3"/>
      <c r="B126" s="3"/>
      <c r="C126" s="332"/>
      <c r="D126" s="8"/>
      <c r="E126" s="8"/>
      <c r="F126" s="8"/>
      <c r="G126" s="332"/>
      <c r="H126" s="332"/>
      <c r="I126" s="8"/>
      <c r="J126" s="8"/>
      <c r="K126" s="8"/>
      <c r="L126" s="332"/>
      <c r="M126" s="332"/>
      <c r="N126" s="332"/>
      <c r="O126" s="332"/>
      <c r="P126" s="332"/>
      <c r="Q126" s="332"/>
      <c r="R126" s="332"/>
      <c r="S126" s="332"/>
      <c r="T126" s="332"/>
      <c r="U126" s="332"/>
      <c r="V126" s="332"/>
      <c r="W126" s="332"/>
      <c r="X126" s="332"/>
      <c r="Y126" s="332"/>
      <c r="Z126" s="332"/>
      <c r="AA126" s="332"/>
      <c r="AB126" s="332"/>
      <c r="AC126" s="332"/>
      <c r="AD126" s="332"/>
      <c r="AE126" s="332"/>
      <c r="AF126" s="332"/>
      <c r="AG126" s="332"/>
      <c r="AH126" s="332"/>
      <c r="AI126" s="332"/>
      <c r="AJ126" s="332"/>
      <c r="AK126" s="332"/>
      <c r="AL126" s="332"/>
      <c r="AM126" s="332"/>
      <c r="AN126" s="332"/>
      <c r="AO126" s="332"/>
      <c r="AP126" s="332"/>
      <c r="AQ126" s="332"/>
      <c r="AR126" s="332"/>
      <c r="AS126" s="332"/>
      <c r="AT126" s="332"/>
      <c r="AU126" s="332"/>
      <c r="AV126" s="332"/>
      <c r="AW126" s="332"/>
      <c r="AX126" s="332"/>
      <c r="AY126" s="332"/>
      <c r="AZ126" s="332"/>
      <c r="BA126" s="332"/>
      <c r="BB126" s="332"/>
      <c r="BC126" s="3"/>
      <c r="BD126" s="3"/>
      <c r="BE126" s="3"/>
    </row>
    <row x14ac:dyDescent="0.25" r="127" customHeight="1" ht="19.5" hidden="1">
      <c r="A127" s="3"/>
      <c r="B127" s="3"/>
      <c r="C127" s="332"/>
      <c r="D127" s="8"/>
      <c r="E127" s="8"/>
      <c r="F127" s="8"/>
      <c r="G127" s="332"/>
      <c r="H127" s="332"/>
      <c r="I127" s="8"/>
      <c r="J127" s="8"/>
      <c r="K127" s="8"/>
      <c r="L127" s="332"/>
      <c r="M127" s="332"/>
      <c r="N127" s="332"/>
      <c r="O127" s="332"/>
      <c r="P127" s="332"/>
      <c r="Q127" s="332"/>
      <c r="R127" s="332"/>
      <c r="S127" s="332"/>
      <c r="T127" s="332"/>
      <c r="U127" s="332"/>
      <c r="V127" s="332"/>
      <c r="W127" s="332"/>
      <c r="X127" s="332"/>
      <c r="Y127" s="332"/>
      <c r="Z127" s="332"/>
      <c r="AA127" s="332"/>
      <c r="AB127" s="332"/>
      <c r="AC127" s="332"/>
      <c r="AD127" s="332"/>
      <c r="AE127" s="332"/>
      <c r="AF127" s="332"/>
      <c r="AG127" s="332"/>
      <c r="AH127" s="332"/>
      <c r="AI127" s="332"/>
      <c r="AJ127" s="332"/>
      <c r="AK127" s="332"/>
      <c r="AL127" s="332"/>
      <c r="AM127" s="332"/>
      <c r="AN127" s="332"/>
      <c r="AO127" s="332"/>
      <c r="AP127" s="332"/>
      <c r="AQ127" s="332"/>
      <c r="AR127" s="332"/>
      <c r="AS127" s="332"/>
      <c r="AT127" s="332"/>
      <c r="AU127" s="332"/>
      <c r="AV127" s="332"/>
      <c r="AW127" s="332"/>
      <c r="AX127" s="332"/>
      <c r="AY127" s="332"/>
      <c r="AZ127" s="332"/>
      <c r="BA127" s="332"/>
      <c r="BB127" s="332"/>
      <c r="BC127" s="3"/>
      <c r="BD127" s="3"/>
      <c r="BE127" s="3"/>
    </row>
    <row x14ac:dyDescent="0.25" r="128" customHeight="1" ht="19.5" hidden="1">
      <c r="A128" s="3"/>
      <c r="B128" s="3"/>
      <c r="C128" s="332"/>
      <c r="D128" s="8"/>
      <c r="E128" s="8"/>
      <c r="F128" s="8"/>
      <c r="G128" s="332"/>
      <c r="H128" s="332"/>
      <c r="I128" s="8"/>
      <c r="J128" s="8"/>
      <c r="K128" s="8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32"/>
      <c r="AB128" s="332"/>
      <c r="AC128" s="332"/>
      <c r="AD128" s="332"/>
      <c r="AE128" s="332"/>
      <c r="AF128" s="332"/>
      <c r="AG128" s="332"/>
      <c r="AH128" s="332"/>
      <c r="AI128" s="332"/>
      <c r="AJ128" s="332"/>
      <c r="AK128" s="332"/>
      <c r="AL128" s="332"/>
      <c r="AM128" s="332"/>
      <c r="AN128" s="332"/>
      <c r="AO128" s="332"/>
      <c r="AP128" s="332"/>
      <c r="AQ128" s="332"/>
      <c r="AR128" s="332"/>
      <c r="AS128" s="332"/>
      <c r="AT128" s="332"/>
      <c r="AU128" s="332"/>
      <c r="AV128" s="332"/>
      <c r="AW128" s="332"/>
      <c r="AX128" s="332"/>
      <c r="AY128" s="332"/>
      <c r="AZ128" s="332"/>
      <c r="BA128" s="332"/>
      <c r="BB128" s="332"/>
      <c r="BC128" s="3"/>
      <c r="BD128" s="3"/>
      <c r="BE128" s="3"/>
    </row>
    <row x14ac:dyDescent="0.25" r="129" customHeight="1" ht="19.5" hidden="1">
      <c r="A129" s="3"/>
      <c r="B129" s="3"/>
      <c r="C129" s="332"/>
      <c r="D129" s="8"/>
      <c r="E129" s="8"/>
      <c r="F129" s="8"/>
      <c r="G129" s="332"/>
      <c r="H129" s="332"/>
      <c r="I129" s="8"/>
      <c r="J129" s="8"/>
      <c r="K129" s="8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32"/>
      <c r="AB129" s="332"/>
      <c r="AC129" s="332"/>
      <c r="AD129" s="332"/>
      <c r="AE129" s="332"/>
      <c r="AF129" s="332"/>
      <c r="AG129" s="332"/>
      <c r="AH129" s="332"/>
      <c r="AI129" s="332"/>
      <c r="AJ129" s="332"/>
      <c r="AK129" s="332"/>
      <c r="AL129" s="332"/>
      <c r="AM129" s="332"/>
      <c r="AN129" s="332"/>
      <c r="AO129" s="332"/>
      <c r="AP129" s="332"/>
      <c r="AQ129" s="332"/>
      <c r="AR129" s="332"/>
      <c r="AS129" s="332"/>
      <c r="AT129" s="332"/>
      <c r="AU129" s="332"/>
      <c r="AV129" s="332"/>
      <c r="AW129" s="332"/>
      <c r="AX129" s="332"/>
      <c r="AY129" s="332"/>
      <c r="AZ129" s="332"/>
      <c r="BA129" s="332"/>
      <c r="BB129" s="332"/>
      <c r="BC129" s="3"/>
      <c r="BD129" s="3"/>
      <c r="BE129" s="3"/>
    </row>
    <row x14ac:dyDescent="0.25" r="130" customHeight="1" ht="19.5" hidden="1">
      <c r="A130" s="3"/>
      <c r="B130" s="3"/>
      <c r="C130" s="332"/>
      <c r="D130" s="8"/>
      <c r="E130" s="8"/>
      <c r="F130" s="8"/>
      <c r="G130" s="332"/>
      <c r="H130" s="332"/>
      <c r="I130" s="8"/>
      <c r="J130" s="8"/>
      <c r="K130" s="8"/>
      <c r="L130" s="332"/>
      <c r="M130" s="332"/>
      <c r="N130" s="332"/>
      <c r="O130" s="332"/>
      <c r="P130" s="332"/>
      <c r="Q130" s="332"/>
      <c r="R130" s="332"/>
      <c r="S130" s="332"/>
      <c r="T130" s="332"/>
      <c r="U130" s="332"/>
      <c r="V130" s="332"/>
      <c r="W130" s="332"/>
      <c r="X130" s="332"/>
      <c r="Y130" s="332"/>
      <c r="Z130" s="332"/>
      <c r="AA130" s="332"/>
      <c r="AB130" s="332"/>
      <c r="AC130" s="332"/>
      <c r="AD130" s="332"/>
      <c r="AE130" s="332"/>
      <c r="AF130" s="332"/>
      <c r="AG130" s="332"/>
      <c r="AH130" s="332"/>
      <c r="AI130" s="332"/>
      <c r="AJ130" s="332"/>
      <c r="AK130" s="332"/>
      <c r="AL130" s="332"/>
      <c r="AM130" s="332"/>
      <c r="AN130" s="332"/>
      <c r="AO130" s="332"/>
      <c r="AP130" s="332"/>
      <c r="AQ130" s="332"/>
      <c r="AR130" s="332"/>
      <c r="AS130" s="332"/>
      <c r="AT130" s="332"/>
      <c r="AU130" s="332"/>
      <c r="AV130" s="332"/>
      <c r="AW130" s="332"/>
      <c r="AX130" s="332"/>
      <c r="AY130" s="332"/>
      <c r="AZ130" s="332"/>
      <c r="BA130" s="332"/>
      <c r="BB130" s="332"/>
      <c r="BC130" s="3"/>
      <c r="BD130" s="3"/>
      <c r="BE130" s="3"/>
    </row>
    <row x14ac:dyDescent="0.25" r="131" customHeight="1" ht="19.5" hidden="1">
      <c r="A131" s="3"/>
      <c r="B131" s="3"/>
      <c r="C131" s="332"/>
      <c r="D131" s="8"/>
      <c r="E131" s="8"/>
      <c r="F131" s="8"/>
      <c r="G131" s="332"/>
      <c r="H131" s="332"/>
      <c r="I131" s="8"/>
      <c r="J131" s="8"/>
      <c r="K131" s="8"/>
      <c r="L131" s="332"/>
      <c r="M131" s="332"/>
      <c r="N131" s="332"/>
      <c r="O131" s="332"/>
      <c r="P131" s="332"/>
      <c r="Q131" s="332"/>
      <c r="R131" s="332"/>
      <c r="S131" s="332"/>
      <c r="T131" s="332"/>
      <c r="U131" s="332"/>
      <c r="V131" s="332"/>
      <c r="W131" s="332"/>
      <c r="X131" s="332"/>
      <c r="Y131" s="332"/>
      <c r="Z131" s="332"/>
      <c r="AA131" s="332"/>
      <c r="AB131" s="332"/>
      <c r="AC131" s="332"/>
      <c r="AD131" s="332"/>
      <c r="AE131" s="332"/>
      <c r="AF131" s="332"/>
      <c r="AG131" s="332"/>
      <c r="AH131" s="332"/>
      <c r="AI131" s="332"/>
      <c r="AJ131" s="332"/>
      <c r="AK131" s="332"/>
      <c r="AL131" s="332"/>
      <c r="AM131" s="332"/>
      <c r="AN131" s="332"/>
      <c r="AO131" s="332"/>
      <c r="AP131" s="332"/>
      <c r="AQ131" s="332"/>
      <c r="AR131" s="332"/>
      <c r="AS131" s="332"/>
      <c r="AT131" s="332"/>
      <c r="AU131" s="332"/>
      <c r="AV131" s="332"/>
      <c r="AW131" s="332"/>
      <c r="AX131" s="332"/>
      <c r="AY131" s="332"/>
      <c r="AZ131" s="332"/>
      <c r="BA131" s="332"/>
      <c r="BB131" s="332"/>
      <c r="BC131" s="3"/>
      <c r="BD131" s="3"/>
      <c r="BE131" s="3"/>
    </row>
    <row x14ac:dyDescent="0.25" r="132" customHeight="1" ht="19.5" hidden="1">
      <c r="A132" s="3"/>
      <c r="B132" s="3"/>
      <c r="C132" s="332"/>
      <c r="D132" s="8"/>
      <c r="E132" s="8"/>
      <c r="F132" s="8"/>
      <c r="G132" s="332"/>
      <c r="H132" s="332"/>
      <c r="I132" s="8"/>
      <c r="J132" s="8"/>
      <c r="K132" s="8"/>
      <c r="L132" s="332"/>
      <c r="M132" s="332"/>
      <c r="N132" s="332"/>
      <c r="O132" s="332"/>
      <c r="P132" s="332"/>
      <c r="Q132" s="332"/>
      <c r="R132" s="332"/>
      <c r="S132" s="332"/>
      <c r="T132" s="332"/>
      <c r="U132" s="332"/>
      <c r="V132" s="332"/>
      <c r="W132" s="332"/>
      <c r="X132" s="332"/>
      <c r="Y132" s="332"/>
      <c r="Z132" s="332"/>
      <c r="AA132" s="332"/>
      <c r="AB132" s="332"/>
      <c r="AC132" s="332"/>
      <c r="AD132" s="332"/>
      <c r="AE132" s="332"/>
      <c r="AF132" s="332"/>
      <c r="AG132" s="332"/>
      <c r="AH132" s="332"/>
      <c r="AI132" s="332"/>
      <c r="AJ132" s="332"/>
      <c r="AK132" s="332"/>
      <c r="AL132" s="332"/>
      <c r="AM132" s="332"/>
      <c r="AN132" s="332"/>
      <c r="AO132" s="332"/>
      <c r="AP132" s="332"/>
      <c r="AQ132" s="332"/>
      <c r="AR132" s="332"/>
      <c r="AS132" s="332"/>
      <c r="AT132" s="332"/>
      <c r="AU132" s="332"/>
      <c r="AV132" s="332"/>
      <c r="AW132" s="332"/>
      <c r="AX132" s="332"/>
      <c r="AY132" s="332"/>
      <c r="AZ132" s="332"/>
      <c r="BA132" s="332"/>
      <c r="BB132" s="332"/>
      <c r="BC132" s="3"/>
      <c r="BD132" s="3"/>
      <c r="BE132" s="3"/>
    </row>
    <row x14ac:dyDescent="0.25" r="133" customHeight="1" ht="19.5" hidden="1">
      <c r="A133" s="3"/>
      <c r="B133" s="3"/>
      <c r="C133" s="332"/>
      <c r="D133" s="8"/>
      <c r="E133" s="8"/>
      <c r="F133" s="8"/>
      <c r="G133" s="332"/>
      <c r="H133" s="332"/>
      <c r="I133" s="8"/>
      <c r="J133" s="8"/>
      <c r="K133" s="8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32"/>
      <c r="AB133" s="332"/>
      <c r="AC133" s="332"/>
      <c r="AD133" s="332"/>
      <c r="AE133" s="332"/>
      <c r="AF133" s="332"/>
      <c r="AG133" s="332"/>
      <c r="AH133" s="332"/>
      <c r="AI133" s="332"/>
      <c r="AJ133" s="332"/>
      <c r="AK133" s="332"/>
      <c r="AL133" s="332"/>
      <c r="AM133" s="332"/>
      <c r="AN133" s="332"/>
      <c r="AO133" s="332"/>
      <c r="AP133" s="332"/>
      <c r="AQ133" s="332"/>
      <c r="AR133" s="332"/>
      <c r="AS133" s="332"/>
      <c r="AT133" s="332"/>
      <c r="AU133" s="332"/>
      <c r="AV133" s="332"/>
      <c r="AW133" s="332"/>
      <c r="AX133" s="332"/>
      <c r="AY133" s="332"/>
      <c r="AZ133" s="332"/>
      <c r="BA133" s="332"/>
      <c r="BB133" s="332"/>
      <c r="BC133" s="3"/>
      <c r="BD133" s="3"/>
      <c r="BE133" s="3"/>
    </row>
    <row x14ac:dyDescent="0.25" r="134" customHeight="1" ht="19.5" hidden="1">
      <c r="A134" s="3"/>
      <c r="B134" s="3"/>
      <c r="C134" s="332"/>
      <c r="D134" s="8"/>
      <c r="E134" s="8"/>
      <c r="F134" s="8"/>
      <c r="G134" s="332"/>
      <c r="H134" s="332"/>
      <c r="I134" s="8"/>
      <c r="J134" s="8"/>
      <c r="K134" s="8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32"/>
      <c r="AB134" s="332"/>
      <c r="AC134" s="332"/>
      <c r="AD134" s="332"/>
      <c r="AE134" s="332"/>
      <c r="AF134" s="332"/>
      <c r="AG134" s="332"/>
      <c r="AH134" s="332"/>
      <c r="AI134" s="332"/>
      <c r="AJ134" s="332"/>
      <c r="AK134" s="332"/>
      <c r="AL134" s="332"/>
      <c r="AM134" s="332"/>
      <c r="AN134" s="332"/>
      <c r="AO134" s="332"/>
      <c r="AP134" s="332"/>
      <c r="AQ134" s="332"/>
      <c r="AR134" s="332"/>
      <c r="AS134" s="332"/>
      <c r="AT134" s="332"/>
      <c r="AU134" s="332"/>
      <c r="AV134" s="332"/>
      <c r="AW134" s="332"/>
      <c r="AX134" s="332"/>
      <c r="AY134" s="332"/>
      <c r="AZ134" s="332"/>
      <c r="BA134" s="332"/>
      <c r="BB134" s="332"/>
      <c r="BC134" s="3"/>
      <c r="BD134" s="3"/>
      <c r="BE134" s="3"/>
    </row>
    <row x14ac:dyDescent="0.25" r="135" customHeight="1" ht="19.5" hidden="1">
      <c r="A135" s="3"/>
      <c r="B135" s="3"/>
      <c r="C135" s="332"/>
      <c r="D135" s="8"/>
      <c r="E135" s="8"/>
      <c r="F135" s="8"/>
      <c r="G135" s="332"/>
      <c r="H135" s="332"/>
      <c r="I135" s="8"/>
      <c r="J135" s="8"/>
      <c r="K135" s="8"/>
      <c r="L135" s="332"/>
      <c r="M135" s="332"/>
      <c r="N135" s="332"/>
      <c r="O135" s="332"/>
      <c r="P135" s="332"/>
      <c r="Q135" s="332"/>
      <c r="R135" s="332"/>
      <c r="S135" s="332"/>
      <c r="T135" s="332"/>
      <c r="U135" s="332"/>
      <c r="V135" s="332"/>
      <c r="W135" s="332"/>
      <c r="X135" s="332"/>
      <c r="Y135" s="332"/>
      <c r="Z135" s="332"/>
      <c r="AA135" s="332"/>
      <c r="AB135" s="332"/>
      <c r="AC135" s="332"/>
      <c r="AD135" s="332"/>
      <c r="AE135" s="332"/>
      <c r="AF135" s="332"/>
      <c r="AG135" s="332"/>
      <c r="AH135" s="332"/>
      <c r="AI135" s="332"/>
      <c r="AJ135" s="332"/>
      <c r="AK135" s="332"/>
      <c r="AL135" s="332"/>
      <c r="AM135" s="332"/>
      <c r="AN135" s="332"/>
      <c r="AO135" s="332"/>
      <c r="AP135" s="332"/>
      <c r="AQ135" s="332"/>
      <c r="AR135" s="332"/>
      <c r="AS135" s="332"/>
      <c r="AT135" s="332"/>
      <c r="AU135" s="332"/>
      <c r="AV135" s="332"/>
      <c r="AW135" s="332"/>
      <c r="AX135" s="332"/>
      <c r="AY135" s="332"/>
      <c r="AZ135" s="332"/>
      <c r="BA135" s="332"/>
      <c r="BB135" s="332"/>
      <c r="BC135" s="3"/>
      <c r="BD135" s="3"/>
      <c r="BE135" s="3"/>
    </row>
    <row x14ac:dyDescent="0.25" r="136" customHeight="1" ht="19.5" hidden="1">
      <c r="A136" s="3"/>
      <c r="B136" s="3"/>
      <c r="C136" s="332"/>
      <c r="D136" s="8"/>
      <c r="E136" s="8"/>
      <c r="F136" s="8"/>
      <c r="G136" s="332"/>
      <c r="H136" s="332"/>
      <c r="I136" s="8"/>
      <c r="J136" s="8"/>
      <c r="K136" s="8"/>
      <c r="L136" s="332"/>
      <c r="M136" s="332"/>
      <c r="N136" s="332"/>
      <c r="O136" s="332"/>
      <c r="P136" s="332"/>
      <c r="Q136" s="332"/>
      <c r="R136" s="332"/>
      <c r="S136" s="332"/>
      <c r="T136" s="332"/>
      <c r="U136" s="332"/>
      <c r="V136" s="332"/>
      <c r="W136" s="332"/>
      <c r="X136" s="332"/>
      <c r="Y136" s="332"/>
      <c r="Z136" s="332"/>
      <c r="AA136" s="332"/>
      <c r="AB136" s="332"/>
      <c r="AC136" s="332"/>
      <c r="AD136" s="332"/>
      <c r="AE136" s="332"/>
      <c r="AF136" s="332"/>
      <c r="AG136" s="332"/>
      <c r="AH136" s="332"/>
      <c r="AI136" s="332"/>
      <c r="AJ136" s="332"/>
      <c r="AK136" s="332"/>
      <c r="AL136" s="332"/>
      <c r="AM136" s="332"/>
      <c r="AN136" s="332"/>
      <c r="AO136" s="332"/>
      <c r="AP136" s="332"/>
      <c r="AQ136" s="332"/>
      <c r="AR136" s="332"/>
      <c r="AS136" s="332"/>
      <c r="AT136" s="332"/>
      <c r="AU136" s="332"/>
      <c r="AV136" s="332"/>
      <c r="AW136" s="332"/>
      <c r="AX136" s="332"/>
      <c r="AY136" s="332"/>
      <c r="AZ136" s="332"/>
      <c r="BA136" s="332"/>
      <c r="BB136" s="332"/>
      <c r="BC136" s="3"/>
      <c r="BD136" s="3"/>
      <c r="BE136" s="3"/>
    </row>
    <row x14ac:dyDescent="0.25" r="137" customHeight="1" ht="19.5" hidden="1">
      <c r="A137" s="3"/>
      <c r="B137" s="3"/>
      <c r="C137" s="332"/>
      <c r="D137" s="8"/>
      <c r="E137" s="8"/>
      <c r="F137" s="8"/>
      <c r="G137" s="332"/>
      <c r="H137" s="332"/>
      <c r="I137" s="8"/>
      <c r="J137" s="8"/>
      <c r="K137" s="8"/>
      <c r="L137" s="332"/>
      <c r="M137" s="332"/>
      <c r="N137" s="332"/>
      <c r="O137" s="332"/>
      <c r="P137" s="332"/>
      <c r="Q137" s="332"/>
      <c r="R137" s="332"/>
      <c r="S137" s="332"/>
      <c r="T137" s="332"/>
      <c r="U137" s="332"/>
      <c r="V137" s="332"/>
      <c r="W137" s="332"/>
      <c r="X137" s="332"/>
      <c r="Y137" s="332"/>
      <c r="Z137" s="332"/>
      <c r="AA137" s="332"/>
      <c r="AB137" s="332"/>
      <c r="AC137" s="332"/>
      <c r="AD137" s="332"/>
      <c r="AE137" s="332"/>
      <c r="AF137" s="332"/>
      <c r="AG137" s="332"/>
      <c r="AH137" s="332"/>
      <c r="AI137" s="332"/>
      <c r="AJ137" s="332"/>
      <c r="AK137" s="332"/>
      <c r="AL137" s="332"/>
      <c r="AM137" s="332"/>
      <c r="AN137" s="332"/>
      <c r="AO137" s="332"/>
      <c r="AP137" s="332"/>
      <c r="AQ137" s="332"/>
      <c r="AR137" s="332"/>
      <c r="AS137" s="332"/>
      <c r="AT137" s="332"/>
      <c r="AU137" s="332"/>
      <c r="AV137" s="332"/>
      <c r="AW137" s="332"/>
      <c r="AX137" s="332"/>
      <c r="AY137" s="332"/>
      <c r="AZ137" s="332"/>
      <c r="BA137" s="332"/>
      <c r="BB137" s="332"/>
      <c r="BC137" s="3"/>
      <c r="BD137" s="3"/>
      <c r="BE137" s="3"/>
    </row>
    <row x14ac:dyDescent="0.25" r="138" customHeight="1" ht="19.5" hidden="1">
      <c r="A138" s="3"/>
      <c r="B138" s="3"/>
      <c r="C138" s="332"/>
      <c r="D138" s="8"/>
      <c r="E138" s="8"/>
      <c r="F138" s="8"/>
      <c r="G138" s="332"/>
      <c r="H138" s="332"/>
      <c r="I138" s="8"/>
      <c r="J138" s="8"/>
      <c r="K138" s="8"/>
      <c r="L138" s="332"/>
      <c r="M138" s="332"/>
      <c r="N138" s="332"/>
      <c r="O138" s="332"/>
      <c r="P138" s="332"/>
      <c r="Q138" s="332"/>
      <c r="R138" s="332"/>
      <c r="S138" s="332"/>
      <c r="T138" s="332"/>
      <c r="U138" s="332"/>
      <c r="V138" s="332"/>
      <c r="W138" s="332"/>
      <c r="X138" s="332"/>
      <c r="Y138" s="332"/>
      <c r="Z138" s="332"/>
      <c r="AA138" s="332"/>
      <c r="AB138" s="332"/>
      <c r="AC138" s="332"/>
      <c r="AD138" s="332"/>
      <c r="AE138" s="332"/>
      <c r="AF138" s="332"/>
      <c r="AG138" s="332"/>
      <c r="AH138" s="332"/>
      <c r="AI138" s="332"/>
      <c r="AJ138" s="332"/>
      <c r="AK138" s="332"/>
      <c r="AL138" s="332"/>
      <c r="AM138" s="332"/>
      <c r="AN138" s="332"/>
      <c r="AO138" s="332"/>
      <c r="AP138" s="332"/>
      <c r="AQ138" s="332"/>
      <c r="AR138" s="332"/>
      <c r="AS138" s="332"/>
      <c r="AT138" s="332"/>
      <c r="AU138" s="332"/>
      <c r="AV138" s="332"/>
      <c r="AW138" s="332"/>
      <c r="AX138" s="332"/>
      <c r="AY138" s="332"/>
      <c r="AZ138" s="332"/>
      <c r="BA138" s="332"/>
      <c r="BB138" s="332"/>
      <c r="BC138" s="3"/>
      <c r="BD138" s="3"/>
      <c r="BE138" s="3"/>
    </row>
    <row x14ac:dyDescent="0.25" r="139" customHeight="1" ht="19.5" hidden="1">
      <c r="A139" s="3"/>
      <c r="B139" s="3"/>
      <c r="C139" s="332"/>
      <c r="D139" s="8"/>
      <c r="E139" s="8"/>
      <c r="F139" s="8"/>
      <c r="G139" s="332"/>
      <c r="H139" s="332"/>
      <c r="I139" s="8"/>
      <c r="J139" s="8"/>
      <c r="K139" s="8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32"/>
      <c r="AB139" s="332"/>
      <c r="AC139" s="332"/>
      <c r="AD139" s="332"/>
      <c r="AE139" s="332"/>
      <c r="AF139" s="332"/>
      <c r="AG139" s="332"/>
      <c r="AH139" s="332"/>
      <c r="AI139" s="332"/>
      <c r="AJ139" s="332"/>
      <c r="AK139" s="332"/>
      <c r="AL139" s="332"/>
      <c r="AM139" s="332"/>
      <c r="AN139" s="332"/>
      <c r="AO139" s="332"/>
      <c r="AP139" s="332"/>
      <c r="AQ139" s="332"/>
      <c r="AR139" s="332"/>
      <c r="AS139" s="332"/>
      <c r="AT139" s="332"/>
      <c r="AU139" s="332"/>
      <c r="AV139" s="332"/>
      <c r="AW139" s="332"/>
      <c r="AX139" s="332"/>
      <c r="AY139" s="332"/>
      <c r="AZ139" s="332"/>
      <c r="BA139" s="332"/>
      <c r="BB139" s="332"/>
      <c r="BC139" s="3"/>
      <c r="BD139" s="3"/>
      <c r="BE139" s="3"/>
    </row>
    <row x14ac:dyDescent="0.25" r="140" customHeight="1" ht="19.5" hidden="1">
      <c r="A140" s="3"/>
      <c r="B140" s="3"/>
      <c r="C140" s="332"/>
      <c r="D140" s="8"/>
      <c r="E140" s="8"/>
      <c r="F140" s="8"/>
      <c r="G140" s="332"/>
      <c r="H140" s="332"/>
      <c r="I140" s="8"/>
      <c r="J140" s="8"/>
      <c r="K140" s="8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32"/>
      <c r="AB140" s="332"/>
      <c r="AC140" s="332"/>
      <c r="AD140" s="332"/>
      <c r="AE140" s="332"/>
      <c r="AF140" s="332"/>
      <c r="AG140" s="332"/>
      <c r="AH140" s="332"/>
      <c r="AI140" s="332"/>
      <c r="AJ140" s="332"/>
      <c r="AK140" s="332"/>
      <c r="AL140" s="332"/>
      <c r="AM140" s="332"/>
      <c r="AN140" s="332"/>
      <c r="AO140" s="332"/>
      <c r="AP140" s="332"/>
      <c r="AQ140" s="332"/>
      <c r="AR140" s="332"/>
      <c r="AS140" s="332"/>
      <c r="AT140" s="332"/>
      <c r="AU140" s="332"/>
      <c r="AV140" s="332"/>
      <c r="AW140" s="332"/>
      <c r="AX140" s="332"/>
      <c r="AY140" s="332"/>
      <c r="AZ140" s="332"/>
      <c r="BA140" s="332"/>
      <c r="BB140" s="332"/>
      <c r="BC140" s="3"/>
      <c r="BD140" s="3"/>
      <c r="BE140" s="3"/>
    </row>
    <row x14ac:dyDescent="0.25" r="141" customHeight="1" ht="19.5" hidden="1">
      <c r="A141" s="3"/>
      <c r="B141" s="3"/>
      <c r="C141" s="332"/>
      <c r="D141" s="8"/>
      <c r="E141" s="8"/>
      <c r="F141" s="8"/>
      <c r="G141" s="332"/>
      <c r="H141" s="332"/>
      <c r="I141" s="8"/>
      <c r="J141" s="8"/>
      <c r="K141" s="8"/>
      <c r="L141" s="332"/>
      <c r="M141" s="332"/>
      <c r="N141" s="332"/>
      <c r="O141" s="332"/>
      <c r="P141" s="332"/>
      <c r="Q141" s="332"/>
      <c r="R141" s="332"/>
      <c r="S141" s="332"/>
      <c r="T141" s="332"/>
      <c r="U141" s="332"/>
      <c r="V141" s="332"/>
      <c r="W141" s="332"/>
      <c r="X141" s="332"/>
      <c r="Y141" s="332"/>
      <c r="Z141" s="332"/>
      <c r="AA141" s="332"/>
      <c r="AB141" s="332"/>
      <c r="AC141" s="332"/>
      <c r="AD141" s="332"/>
      <c r="AE141" s="332"/>
      <c r="AF141" s="332"/>
      <c r="AG141" s="332"/>
      <c r="AH141" s="332"/>
      <c r="AI141" s="332"/>
      <c r="AJ141" s="332"/>
      <c r="AK141" s="332"/>
      <c r="AL141" s="332"/>
      <c r="AM141" s="332"/>
      <c r="AN141" s="332"/>
      <c r="AO141" s="332"/>
      <c r="AP141" s="332"/>
      <c r="AQ141" s="332"/>
      <c r="AR141" s="332"/>
      <c r="AS141" s="332"/>
      <c r="AT141" s="332"/>
      <c r="AU141" s="332"/>
      <c r="AV141" s="332"/>
      <c r="AW141" s="332"/>
      <c r="AX141" s="332"/>
      <c r="AY141" s="332"/>
      <c r="AZ141" s="332"/>
      <c r="BA141" s="332"/>
      <c r="BB141" s="332"/>
      <c r="BC141" s="3"/>
      <c r="BD141" s="3"/>
      <c r="BE141" s="3"/>
    </row>
    <row x14ac:dyDescent="0.25" r="142" customHeight="1" ht="19.5" hidden="1">
      <c r="A142" s="3"/>
      <c r="B142" s="3"/>
      <c r="C142" s="332"/>
      <c r="D142" s="8"/>
      <c r="E142" s="8"/>
      <c r="F142" s="8"/>
      <c r="G142" s="332"/>
      <c r="H142" s="332"/>
      <c r="I142" s="8"/>
      <c r="J142" s="8"/>
      <c r="K142" s="8"/>
      <c r="L142" s="332"/>
      <c r="M142" s="332"/>
      <c r="N142" s="332"/>
      <c r="O142" s="332"/>
      <c r="P142" s="332"/>
      <c r="Q142" s="332"/>
      <c r="R142" s="332"/>
      <c r="S142" s="332"/>
      <c r="T142" s="332"/>
      <c r="U142" s="332"/>
      <c r="V142" s="332"/>
      <c r="W142" s="332"/>
      <c r="X142" s="332"/>
      <c r="Y142" s="332"/>
      <c r="Z142" s="332"/>
      <c r="AA142" s="332"/>
      <c r="AB142" s="332"/>
      <c r="AC142" s="332"/>
      <c r="AD142" s="332"/>
      <c r="AE142" s="332"/>
      <c r="AF142" s="332"/>
      <c r="AG142" s="332"/>
      <c r="AH142" s="332"/>
      <c r="AI142" s="332"/>
      <c r="AJ142" s="332"/>
      <c r="AK142" s="332"/>
      <c r="AL142" s="332"/>
      <c r="AM142" s="332"/>
      <c r="AN142" s="332"/>
      <c r="AO142" s="332"/>
      <c r="AP142" s="332"/>
      <c r="AQ142" s="332"/>
      <c r="AR142" s="332"/>
      <c r="AS142" s="332"/>
      <c r="AT142" s="332"/>
      <c r="AU142" s="332"/>
      <c r="AV142" s="332"/>
      <c r="AW142" s="332"/>
      <c r="AX142" s="332"/>
      <c r="AY142" s="332"/>
      <c r="AZ142" s="332"/>
      <c r="BA142" s="332"/>
      <c r="BB142" s="332"/>
      <c r="BC142" s="3"/>
      <c r="BD142" s="3"/>
      <c r="BE142" s="3"/>
    </row>
    <row x14ac:dyDescent="0.25" r="143" customHeight="1" ht="19.5" hidden="1">
      <c r="A143" s="3"/>
      <c r="B143" s="3"/>
      <c r="C143" s="332"/>
      <c r="D143" s="8"/>
      <c r="E143" s="8"/>
      <c r="F143" s="8"/>
      <c r="G143" s="332"/>
      <c r="H143" s="332"/>
      <c r="I143" s="8"/>
      <c r="J143" s="8"/>
      <c r="K143" s="8"/>
      <c r="L143" s="332"/>
      <c r="M143" s="332"/>
      <c r="N143" s="332"/>
      <c r="O143" s="332"/>
      <c r="P143" s="332"/>
      <c r="Q143" s="332"/>
      <c r="R143" s="332"/>
      <c r="S143" s="332"/>
      <c r="T143" s="332"/>
      <c r="U143" s="332"/>
      <c r="V143" s="332"/>
      <c r="W143" s="332"/>
      <c r="X143" s="332"/>
      <c r="Y143" s="332"/>
      <c r="Z143" s="332"/>
      <c r="AA143" s="332"/>
      <c r="AB143" s="332"/>
      <c r="AC143" s="332"/>
      <c r="AD143" s="332"/>
      <c r="AE143" s="332"/>
      <c r="AF143" s="332"/>
      <c r="AG143" s="332"/>
      <c r="AH143" s="332"/>
      <c r="AI143" s="332"/>
      <c r="AJ143" s="332"/>
      <c r="AK143" s="332"/>
      <c r="AL143" s="332"/>
      <c r="AM143" s="332"/>
      <c r="AN143" s="332"/>
      <c r="AO143" s="332"/>
      <c r="AP143" s="332"/>
      <c r="AQ143" s="332"/>
      <c r="AR143" s="332"/>
      <c r="AS143" s="332"/>
      <c r="AT143" s="332"/>
      <c r="AU143" s="332"/>
      <c r="AV143" s="332"/>
      <c r="AW143" s="332"/>
      <c r="AX143" s="332"/>
      <c r="AY143" s="332"/>
      <c r="AZ143" s="332"/>
      <c r="BA143" s="332"/>
      <c r="BB143" s="332"/>
      <c r="BC143" s="3"/>
      <c r="BD143" s="3"/>
      <c r="BE143" s="3"/>
    </row>
    <row x14ac:dyDescent="0.25" r="144" customHeight="1" ht="19.5" hidden="1">
      <c r="A144" s="3"/>
      <c r="B144" s="3"/>
      <c r="C144" s="332"/>
      <c r="D144" s="8"/>
      <c r="E144" s="8"/>
      <c r="F144" s="8"/>
      <c r="G144" s="332"/>
      <c r="H144" s="332"/>
      <c r="I144" s="8"/>
      <c r="J144" s="8"/>
      <c r="K144" s="8"/>
      <c r="L144" s="332"/>
      <c r="M144" s="332"/>
      <c r="N144" s="332"/>
      <c r="O144" s="332"/>
      <c r="P144" s="332"/>
      <c r="Q144" s="332"/>
      <c r="R144" s="332"/>
      <c r="S144" s="332"/>
      <c r="T144" s="332"/>
      <c r="U144" s="332"/>
      <c r="V144" s="332"/>
      <c r="W144" s="332"/>
      <c r="X144" s="332"/>
      <c r="Y144" s="332"/>
      <c r="Z144" s="332"/>
      <c r="AA144" s="332"/>
      <c r="AB144" s="332"/>
      <c r="AC144" s="332"/>
      <c r="AD144" s="332"/>
      <c r="AE144" s="332"/>
      <c r="AF144" s="332"/>
      <c r="AG144" s="332"/>
      <c r="AH144" s="332"/>
      <c r="AI144" s="332"/>
      <c r="AJ144" s="332"/>
      <c r="AK144" s="332"/>
      <c r="AL144" s="332"/>
      <c r="AM144" s="332"/>
      <c r="AN144" s="332"/>
      <c r="AO144" s="332"/>
      <c r="AP144" s="332"/>
      <c r="AQ144" s="332"/>
      <c r="AR144" s="332"/>
      <c r="AS144" s="332"/>
      <c r="AT144" s="332"/>
      <c r="AU144" s="332"/>
      <c r="AV144" s="332"/>
      <c r="AW144" s="332"/>
      <c r="AX144" s="332"/>
      <c r="AY144" s="332"/>
      <c r="AZ144" s="332"/>
      <c r="BA144" s="332"/>
      <c r="BB144" s="332"/>
      <c r="BC144" s="3"/>
      <c r="BD144" s="3"/>
      <c r="BE144" s="3"/>
    </row>
    <row x14ac:dyDescent="0.25" r="145" customHeight="1" ht="19.5" hidden="1">
      <c r="A145" s="3"/>
      <c r="B145" s="3"/>
      <c r="C145" s="332"/>
      <c r="D145" s="8"/>
      <c r="E145" s="8"/>
      <c r="F145" s="8"/>
      <c r="G145" s="332"/>
      <c r="H145" s="332"/>
      <c r="I145" s="8"/>
      <c r="J145" s="8"/>
      <c r="K145" s="8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32"/>
      <c r="AB145" s="332"/>
      <c r="AC145" s="332"/>
      <c r="AD145" s="332"/>
      <c r="AE145" s="332"/>
      <c r="AF145" s="332"/>
      <c r="AG145" s="332"/>
      <c r="AH145" s="332"/>
      <c r="AI145" s="332"/>
      <c r="AJ145" s="332"/>
      <c r="AK145" s="332"/>
      <c r="AL145" s="332"/>
      <c r="AM145" s="332"/>
      <c r="AN145" s="332"/>
      <c r="AO145" s="332"/>
      <c r="AP145" s="332"/>
      <c r="AQ145" s="332"/>
      <c r="AR145" s="332"/>
      <c r="AS145" s="332"/>
      <c r="AT145" s="332"/>
      <c r="AU145" s="332"/>
      <c r="AV145" s="332"/>
      <c r="AW145" s="332"/>
      <c r="AX145" s="332"/>
      <c r="AY145" s="332"/>
      <c r="AZ145" s="332"/>
      <c r="BA145" s="332"/>
      <c r="BB145" s="332"/>
      <c r="BC145" s="3"/>
      <c r="BD145" s="3"/>
      <c r="BE14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64"/>
  <sheetViews>
    <sheetView workbookViewId="0"/>
  </sheetViews>
  <sheetFormatPr defaultRowHeight="15" x14ac:dyDescent="0.25"/>
  <cols>
    <col min="1" max="1" style="17" width="14.147857142857141" customWidth="1" bestFit="1" hidden="1"/>
    <col min="2" max="2" style="17" width="50.86214285714286" customWidth="1" bestFit="1"/>
    <col min="3" max="3" style="17" width="4.862142857142857" customWidth="1" bestFit="1"/>
    <col min="4" max="4" style="17" width="1.8621428571428573" customWidth="1" bestFit="1"/>
    <col min="5" max="5" style="18" width="10.576428571428572" customWidth="1" bestFit="1"/>
    <col min="6" max="6" style="18" width="10.576428571428572" customWidth="1" bestFit="1"/>
    <col min="7" max="7" style="18" width="12.576428571428572" customWidth="1" bestFit="1"/>
    <col min="8" max="8" style="17" width="1.8621428571428573" customWidth="1" bestFit="1"/>
    <col min="9" max="9" style="492" width="11.862142857142858" customWidth="1" bestFit="1"/>
    <col min="10" max="10" style="492" width="10.862142857142858" customWidth="1" bestFit="1"/>
    <col min="11" max="11" style="492" width="10.862142857142858" customWidth="1" bestFit="1"/>
    <col min="12" max="12" style="492" width="10.862142857142858" customWidth="1" bestFit="1"/>
    <col min="13" max="13" style="486" width="10.862142857142858" customWidth="1" bestFit="1"/>
    <col min="14" max="14" style="486" width="10.862142857142858" customWidth="1" bestFit="1"/>
    <col min="15" max="15" style="486" width="10.862142857142858" customWidth="1" bestFit="1"/>
    <col min="16" max="16" style="486" width="10.862142857142858" customWidth="1" bestFit="1"/>
    <col min="17" max="17" style="486" width="10.862142857142858" customWidth="1" bestFit="1"/>
    <col min="18" max="18" style="486" width="10.862142857142858" customWidth="1" bestFit="1"/>
    <col min="19" max="19" style="486" width="10.862142857142858" customWidth="1" bestFit="1"/>
    <col min="20" max="20" style="486" width="10.862142857142858" customWidth="1" bestFit="1"/>
    <col min="21" max="21" style="17" width="1.8621428571428573" customWidth="1" bestFit="1"/>
    <col min="22" max="22" style="486" width="14.147857142857141" customWidth="1" bestFit="1" hidden="1"/>
    <col min="23" max="23" style="486" width="14.147857142857141" customWidth="1" bestFit="1" hidden="1"/>
    <col min="24" max="24" style="486" width="14.147857142857141" customWidth="1" bestFit="1" hidden="1"/>
    <col min="25" max="25" style="486" width="14.147857142857141" customWidth="1" bestFit="1" hidden="1"/>
    <col min="26" max="26" style="486" width="14.147857142857141" customWidth="1" bestFit="1" hidden="1"/>
    <col min="27" max="27" style="486" width="14.147857142857141" customWidth="1" bestFit="1" hidden="1"/>
    <col min="28" max="28" style="486" width="14.147857142857141" customWidth="1" bestFit="1" hidden="1"/>
    <col min="29" max="29" style="486" width="14.147857142857141" customWidth="1" bestFit="1" hidden="1"/>
    <col min="30" max="30" style="486" width="14.147857142857141" customWidth="1" bestFit="1" hidden="1"/>
    <col min="31" max="31" style="486" width="2.5764285714285715" customWidth="1" bestFit="1"/>
    <col min="32" max="32" style="486" width="12.43357142857143" customWidth="1" bestFit="1"/>
    <col min="33" max="33" style="486" width="13.576428571428572" customWidth="1" bestFit="1"/>
    <col min="34" max="34" style="486" width="14.576428571428572" customWidth="1" bestFit="1"/>
    <col min="35" max="35" style="17" width="3.1478571428571427" customWidth="1" bestFit="1"/>
    <col min="36" max="36" style="492" width="14.147857142857141" customWidth="1" bestFit="1"/>
    <col min="37" max="37" style="492" width="15.576428571428572" customWidth="1" bestFit="1"/>
    <col min="38" max="38" style="17" width="8.862142857142858" customWidth="1" bestFit="1"/>
    <col min="39" max="39" style="17" width="14.147857142857141" customWidth="1" bestFit="1"/>
    <col min="40" max="40" style="17" width="14.147857142857141" customWidth="1" bestFit="1"/>
    <col min="41" max="41" style="17" width="14.147857142857141" customWidth="1" bestFit="1"/>
    <col min="42" max="42" style="17" width="14.147857142857141" customWidth="1" bestFit="1"/>
    <col min="43" max="43" style="17" width="14.147857142857141" customWidth="1" bestFit="1"/>
    <col min="44" max="44" style="17" width="14.147857142857141" customWidth="1" bestFit="1"/>
    <col min="45" max="45" style="17" width="14.147857142857141" customWidth="1" bestFit="1"/>
  </cols>
  <sheetData>
    <row x14ac:dyDescent="0.25" r="1" customHeight="1" ht="19.5" hidden="1">
      <c r="A1" s="3"/>
      <c r="B1" s="195" t="s">
        <v>510</v>
      </c>
      <c r="C1" s="3"/>
      <c r="D1" s="3"/>
      <c r="E1" s="437">
        <v>2020</v>
      </c>
      <c r="F1" s="437">
        <v>2021</v>
      </c>
      <c r="G1" s="120">
        <v>2022</v>
      </c>
      <c r="H1" s="3"/>
      <c r="I1" s="120">
        <v>2021</v>
      </c>
      <c r="J1" s="120">
        <v>2021</v>
      </c>
      <c r="K1" s="120">
        <v>2021</v>
      </c>
      <c r="L1" s="120">
        <v>2021</v>
      </c>
      <c r="M1" s="120">
        <v>2021</v>
      </c>
      <c r="N1" s="120">
        <v>2021</v>
      </c>
      <c r="O1" s="120">
        <v>2021</v>
      </c>
      <c r="P1" s="120">
        <v>2021</v>
      </c>
      <c r="Q1" s="120">
        <v>2021</v>
      </c>
      <c r="R1" s="120">
        <v>2021</v>
      </c>
      <c r="S1" s="120">
        <v>2021</v>
      </c>
      <c r="T1" s="120">
        <v>2021</v>
      </c>
      <c r="U1" s="3"/>
      <c r="V1" s="120">
        <v>2021</v>
      </c>
      <c r="W1" s="120">
        <v>2021</v>
      </c>
      <c r="X1" s="120">
        <v>2021</v>
      </c>
      <c r="Y1" s="120">
        <v>2021</v>
      </c>
      <c r="Z1" s="120">
        <v>2021</v>
      </c>
      <c r="AA1" s="120">
        <v>2021</v>
      </c>
      <c r="AB1" s="120">
        <v>2021</v>
      </c>
      <c r="AC1" s="120">
        <v>2021</v>
      </c>
      <c r="AD1" s="120">
        <v>2021</v>
      </c>
      <c r="AE1" s="66"/>
      <c r="AF1" s="120">
        <v>2021</v>
      </c>
      <c r="AG1" s="120">
        <v>2022</v>
      </c>
      <c r="AH1" s="120">
        <v>2021</v>
      </c>
      <c r="AI1" s="3"/>
      <c r="AJ1" s="166">
        <v>2020</v>
      </c>
      <c r="AK1" s="120">
        <v>2022</v>
      </c>
      <c r="AL1" s="3"/>
      <c r="AM1" s="3"/>
      <c r="AN1" s="3"/>
      <c r="AO1" s="3"/>
      <c r="AP1" s="3"/>
      <c r="AQ1" s="3"/>
      <c r="AR1" s="3"/>
      <c r="AS1" s="3"/>
    </row>
    <row x14ac:dyDescent="0.25" r="2" customHeight="1" ht="19.5" hidden="1">
      <c r="A2" s="3"/>
      <c r="B2" s="195" t="s">
        <v>511</v>
      </c>
      <c r="C2" s="3"/>
      <c r="D2" s="3"/>
      <c r="E2" s="437" t="s">
        <v>30</v>
      </c>
      <c r="F2" s="437">
        <f>MONTH(TODAY())-1&amp;" YTD"</f>
      </c>
      <c r="G2" s="437" t="s">
        <v>30</v>
      </c>
      <c r="H2" s="3"/>
      <c r="I2" s="120">
        <v>1</v>
      </c>
      <c r="J2" s="120">
        <v>2</v>
      </c>
      <c r="K2" s="120">
        <v>3</v>
      </c>
      <c r="L2" s="120">
        <v>4</v>
      </c>
      <c r="M2" s="120">
        <v>5</v>
      </c>
      <c r="N2" s="120">
        <v>6</v>
      </c>
      <c r="O2" s="120">
        <v>7</v>
      </c>
      <c r="P2" s="120">
        <v>8</v>
      </c>
      <c r="Q2" s="120">
        <v>9</v>
      </c>
      <c r="R2" s="120">
        <v>10</v>
      </c>
      <c r="S2" s="120">
        <v>11</v>
      </c>
      <c r="T2" s="120">
        <v>12</v>
      </c>
      <c r="U2" s="3"/>
      <c r="V2" s="120">
        <v>4</v>
      </c>
      <c r="W2" s="120">
        <v>5</v>
      </c>
      <c r="X2" s="120">
        <v>6</v>
      </c>
      <c r="Y2" s="120">
        <v>7</v>
      </c>
      <c r="Z2" s="120">
        <v>8</v>
      </c>
      <c r="AA2" s="120">
        <v>9</v>
      </c>
      <c r="AB2" s="120">
        <v>10</v>
      </c>
      <c r="AC2" s="120">
        <v>11</v>
      </c>
      <c r="AD2" s="120">
        <v>12</v>
      </c>
      <c r="AE2" s="66"/>
      <c r="AF2" s="438">
        <f>MONTH(TODAY())-1&amp;" YTD"</f>
      </c>
      <c r="AG2" s="438">
        <f>MONTH(TODAY())-1&amp;" YTD"</f>
      </c>
      <c r="AH2" s="438">
        <f>MONTH(TODAY())-1&amp;" YTD"</f>
      </c>
      <c r="AI2" s="3"/>
      <c r="AJ2" s="439" t="s">
        <v>30</v>
      </c>
      <c r="AK2" s="439" t="s">
        <v>30</v>
      </c>
      <c r="AL2" s="3"/>
      <c r="AM2" s="3"/>
      <c r="AN2" s="3"/>
      <c r="AO2" s="3"/>
      <c r="AP2" s="3"/>
      <c r="AQ2" s="3"/>
      <c r="AR2" s="3"/>
      <c r="AS2" s="3"/>
    </row>
    <row x14ac:dyDescent="0.25" r="3" customHeight="1" ht="19.5" hidden="1">
      <c r="A3" s="3"/>
      <c r="B3" s="195" t="s">
        <v>512</v>
      </c>
      <c r="C3" s="3"/>
      <c r="D3" s="3"/>
      <c r="E3" s="437">
        <v>12</v>
      </c>
      <c r="F3" s="437">
        <f>LEFT(F$2,2)*1</f>
      </c>
      <c r="G3" s="437">
        <v>12</v>
      </c>
      <c r="H3" s="3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"/>
      <c r="V3" s="120"/>
      <c r="W3" s="120"/>
      <c r="X3" s="120"/>
      <c r="Y3" s="120"/>
      <c r="Z3" s="120"/>
      <c r="AA3" s="120"/>
      <c r="AB3" s="120"/>
      <c r="AC3" s="120"/>
      <c r="AD3" s="120"/>
      <c r="AE3" s="66"/>
      <c r="AF3" s="120"/>
      <c r="AG3" s="120"/>
      <c r="AH3" s="440"/>
      <c r="AI3" s="3"/>
      <c r="AJ3" s="487"/>
      <c r="AK3" s="120"/>
      <c r="AL3" s="3"/>
      <c r="AM3" s="3"/>
      <c r="AN3" s="3"/>
      <c r="AO3" s="3"/>
      <c r="AP3" s="3"/>
      <c r="AQ3" s="3"/>
      <c r="AR3" s="3"/>
      <c r="AS3" s="3"/>
    </row>
    <row x14ac:dyDescent="0.25" r="4" customHeight="1" ht="19.5">
      <c r="A4" s="3"/>
      <c r="B4" s="3"/>
      <c r="C4" s="3"/>
      <c r="D4" s="3"/>
      <c r="E4" s="8"/>
      <c r="F4" s="8"/>
      <c r="G4" s="8"/>
      <c r="H4" s="3"/>
      <c r="I4" s="487"/>
      <c r="J4" s="487"/>
      <c r="K4" s="487"/>
      <c r="L4" s="487"/>
      <c r="M4" s="440"/>
      <c r="N4" s="440"/>
      <c r="O4" s="440"/>
      <c r="P4" s="440"/>
      <c r="Q4" s="440"/>
      <c r="R4" s="440"/>
      <c r="S4" s="440"/>
      <c r="T4" s="440"/>
      <c r="U4" s="3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3"/>
      <c r="AJ4" s="487"/>
      <c r="AK4" s="487"/>
      <c r="AL4" s="3"/>
      <c r="AM4" s="3"/>
      <c r="AN4" s="3"/>
      <c r="AO4" s="3"/>
      <c r="AP4" s="3"/>
      <c r="AQ4" s="3"/>
      <c r="AR4" s="3"/>
      <c r="AS4" s="3"/>
    </row>
    <row x14ac:dyDescent="0.25" r="5" customHeight="1" ht="19.5">
      <c r="A5" s="3"/>
      <c r="B5" s="444">
        <f>YEAR(TODAY())</f>
        <v>25569.041666666668</v>
      </c>
      <c r="C5" s="444">
        <f>MONTH(TODAY())</f>
        <v>25569.041666666668</v>
      </c>
      <c r="D5" s="3"/>
      <c r="E5" s="8"/>
      <c r="F5" s="8"/>
      <c r="G5" s="8"/>
      <c r="H5" s="3"/>
      <c r="I5" s="487"/>
      <c r="J5" s="487"/>
      <c r="K5" s="487"/>
      <c r="L5" s="487"/>
      <c r="M5" s="440"/>
      <c r="N5" s="440"/>
      <c r="O5" s="440"/>
      <c r="P5" s="440"/>
      <c r="Q5" s="440"/>
      <c r="R5" s="440"/>
      <c r="S5" s="440"/>
      <c r="T5" s="440"/>
      <c r="U5" s="3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440"/>
      <c r="AI5" s="3"/>
      <c r="AJ5" s="487"/>
      <c r="AK5" s="487"/>
      <c r="AL5" s="3"/>
      <c r="AM5" s="3"/>
      <c r="AN5" s="3"/>
      <c r="AO5" s="3"/>
      <c r="AP5" s="3"/>
      <c r="AQ5" s="3"/>
      <c r="AR5" s="3"/>
      <c r="AS5" s="3"/>
    </row>
    <row x14ac:dyDescent="0.25" r="6" customHeight="1" ht="19.5">
      <c r="A6" s="3"/>
      <c r="B6" s="30"/>
      <c r="C6" s="30"/>
      <c r="D6" s="3"/>
      <c r="E6" s="445" t="s">
        <v>513</v>
      </c>
      <c r="F6" s="446" t="s">
        <v>514</v>
      </c>
      <c r="G6" s="447" t="s">
        <v>575</v>
      </c>
      <c r="H6" s="3"/>
      <c r="I6" s="448">
        <f>TEXT(I$2,"00")&amp;" "&amp;I$1</f>
      </c>
      <c r="J6" s="448">
        <f>TEXT(J$2,"00")&amp;" "&amp;J$1</f>
      </c>
      <c r="K6" s="448">
        <f>TEXT(K$2,"00")&amp;" "&amp;K$1</f>
      </c>
      <c r="L6" s="448">
        <f>TEXT(L$2,"00")&amp;" "&amp;L$1</f>
      </c>
      <c r="M6" s="448">
        <f>TEXT(M$2,"00")&amp;" "&amp;M$1</f>
      </c>
      <c r="N6" s="449" t="s">
        <v>515</v>
      </c>
      <c r="O6" s="449" t="s">
        <v>516</v>
      </c>
      <c r="P6" s="449" t="s">
        <v>517</v>
      </c>
      <c r="Q6" s="449" t="s">
        <v>518</v>
      </c>
      <c r="R6" s="449" t="s">
        <v>519</v>
      </c>
      <c r="S6" s="449" t="s">
        <v>520</v>
      </c>
      <c r="T6" s="449" t="s">
        <v>521</v>
      </c>
      <c r="U6" s="3"/>
      <c r="V6" s="452" t="s">
        <v>585</v>
      </c>
      <c r="W6" s="452" t="s">
        <v>522</v>
      </c>
      <c r="X6" s="452" t="s">
        <v>523</v>
      </c>
      <c r="Y6" s="452" t="s">
        <v>524</v>
      </c>
      <c r="Z6" s="452" t="s">
        <v>525</v>
      </c>
      <c r="AA6" s="452" t="s">
        <v>526</v>
      </c>
      <c r="AB6" s="452" t="s">
        <v>519</v>
      </c>
      <c r="AC6" s="452" t="s">
        <v>520</v>
      </c>
      <c r="AD6" s="452" t="s">
        <v>521</v>
      </c>
      <c r="AE6" s="453"/>
      <c r="AF6" s="448">
        <f>AF$2&amp;" "&amp;AF$1</f>
      </c>
      <c r="AG6" s="454">
        <f>AG$2&amp;" "&amp;AG$1</f>
      </c>
      <c r="AH6" s="455">
        <f>AH$2&amp;" "&amp;AH$1</f>
      </c>
      <c r="AI6" s="3"/>
      <c r="AJ6" s="456">
        <f>AJ$2&amp;" "&amp;AJ$1</f>
      </c>
      <c r="AK6" s="454">
        <f>AK$2&amp;" "&amp;AK$1</f>
      </c>
      <c r="AL6" s="3"/>
      <c r="AM6" s="3"/>
      <c r="AN6" s="3"/>
      <c r="AO6" s="3"/>
      <c r="AP6" s="3"/>
      <c r="AQ6" s="3"/>
      <c r="AR6" s="3"/>
      <c r="AS6" s="3"/>
    </row>
    <row x14ac:dyDescent="0.25" r="7" customHeight="1" ht="19.5">
      <c r="A7" s="3"/>
      <c r="B7" s="3"/>
      <c r="C7" s="30" t="s">
        <v>527</v>
      </c>
      <c r="D7" s="3"/>
      <c r="E7" s="445" t="s">
        <v>40</v>
      </c>
      <c r="F7" s="446" t="s">
        <v>40</v>
      </c>
      <c r="G7" s="447" t="s">
        <v>441</v>
      </c>
      <c r="H7" s="3"/>
      <c r="I7" s="450" t="s">
        <v>40</v>
      </c>
      <c r="J7" s="450" t="s">
        <v>40</v>
      </c>
      <c r="K7" s="450" t="s">
        <v>40</v>
      </c>
      <c r="L7" s="450" t="s">
        <v>40</v>
      </c>
      <c r="M7" s="448" t="s">
        <v>40</v>
      </c>
      <c r="N7" s="449" t="s">
        <v>40</v>
      </c>
      <c r="O7" s="449" t="s">
        <v>40</v>
      </c>
      <c r="P7" s="449" t="s">
        <v>40</v>
      </c>
      <c r="Q7" s="449" t="s">
        <v>40</v>
      </c>
      <c r="R7" s="449" t="s">
        <v>40</v>
      </c>
      <c r="S7" s="449" t="s">
        <v>40</v>
      </c>
      <c r="T7" s="449" t="s">
        <v>40</v>
      </c>
      <c r="U7" s="3"/>
      <c r="V7" s="452" t="s">
        <v>528</v>
      </c>
      <c r="W7" s="452" t="s">
        <v>528</v>
      </c>
      <c r="X7" s="452" t="s">
        <v>528</v>
      </c>
      <c r="Y7" s="452" t="s">
        <v>528</v>
      </c>
      <c r="Z7" s="452" t="s">
        <v>528</v>
      </c>
      <c r="AA7" s="452" t="s">
        <v>528</v>
      </c>
      <c r="AB7" s="452" t="s">
        <v>528</v>
      </c>
      <c r="AC7" s="452" t="s">
        <v>528</v>
      </c>
      <c r="AD7" s="452" t="s">
        <v>528</v>
      </c>
      <c r="AE7" s="453"/>
      <c r="AF7" s="448" t="s">
        <v>529</v>
      </c>
      <c r="AG7" s="454" t="s">
        <v>530</v>
      </c>
      <c r="AH7" s="455" t="s">
        <v>531</v>
      </c>
      <c r="AI7" s="3"/>
      <c r="AJ7" s="457" t="s">
        <v>529</v>
      </c>
      <c r="AK7" s="458" t="s">
        <v>530</v>
      </c>
      <c r="AL7" s="3"/>
      <c r="AM7" s="3"/>
      <c r="AN7" s="3"/>
      <c r="AO7" s="3"/>
      <c r="AP7" s="3"/>
      <c r="AQ7" s="3"/>
      <c r="AR7" s="3"/>
      <c r="AS7" s="3"/>
    </row>
    <row x14ac:dyDescent="0.25" r="8" customHeight="1" ht="19.5">
      <c r="A8" s="3"/>
      <c r="B8" s="478" t="s">
        <v>576</v>
      </c>
      <c r="C8" s="66"/>
      <c r="D8" s="3"/>
      <c r="E8" s="460"/>
      <c r="F8" s="460"/>
      <c r="G8" s="461"/>
      <c r="H8" s="3"/>
      <c r="I8" s="461"/>
      <c r="J8" s="461"/>
      <c r="K8" s="461"/>
      <c r="L8" s="461"/>
      <c r="M8" s="461"/>
      <c r="N8" s="460"/>
      <c r="O8" s="460"/>
      <c r="P8" s="460"/>
      <c r="Q8" s="460"/>
      <c r="R8" s="460"/>
      <c r="S8" s="460"/>
      <c r="T8" s="460"/>
      <c r="U8" s="3"/>
      <c r="V8" s="489"/>
      <c r="W8" s="460"/>
      <c r="X8" s="460"/>
      <c r="Y8" s="460"/>
      <c r="Z8" s="460"/>
      <c r="AA8" s="460"/>
      <c r="AB8" s="460"/>
      <c r="AC8" s="460"/>
      <c r="AD8" s="462"/>
      <c r="AE8" s="462"/>
      <c r="AF8" s="463"/>
      <c r="AG8" s="464"/>
      <c r="AH8" s="440"/>
      <c r="AI8" s="3"/>
      <c r="AJ8" s="463"/>
      <c r="AK8" s="465"/>
      <c r="AL8" s="3"/>
      <c r="AM8" s="3"/>
      <c r="AN8" s="3"/>
      <c r="AO8" s="3"/>
      <c r="AP8" s="3"/>
      <c r="AQ8" s="3"/>
      <c r="AR8" s="3"/>
      <c r="AS8" s="3"/>
    </row>
    <row x14ac:dyDescent="0.25" r="9" customHeight="1" ht="19.5">
      <c r="A9" s="33" t="s">
        <v>305</v>
      </c>
      <c r="B9" s="33" t="s">
        <v>577</v>
      </c>
      <c r="C9" s="195" t="s">
        <v>535</v>
      </c>
      <c r="D9" s="3"/>
      <c r="E9" s="466">
        <f>$AJ9/E$3</f>
      </c>
      <c r="F9" s="466">
        <f>IFERROR(1/F$3,1)*SUMIFS(Data!$S$3:$S$137,Data!$O$3:$O$137,F$1,Data!$P$3:$P$137,IF(RIGHT(F$2,3)="YTD","&lt;="&amp;LEFT(F$2,2)*1,F$2),Data!$K$3:$K$137,$B9)</f>
      </c>
      <c r="G9" s="466">
        <f>AK9/12</f>
      </c>
      <c r="H9" s="3"/>
      <c r="I9" s="466">
        <f>IFERROR(1/I$3,1)*SUMIFS(tbl_DCFC[C Montant &amp;#8364; HT],tbl_DCFC[OI_Year],I$1,tbl_DCFC[OI_Month],IF(RIGHT(I$2,3)="YTD","&lt;="&amp;LEFT(I$2,2)*1,I$2),tbl_DCFC[BU_Key],$A9)</f>
      </c>
      <c r="J9" s="466">
        <f>IFERROR(1/J$3,1)*SUMIFS(tbl_DCFC[C Montant &amp;#8364; HT],tbl_DCFC[OI_Year],J$1,tbl_DCFC[OI_Month],IF(RIGHT(J$2,3)="YTD","&lt;="&amp;LEFT(J$2,2)*1,J$2),tbl_DCFC[BU_Key],$A9)</f>
      </c>
      <c r="K9" s="466">
        <f>IFERROR(1/K$3,1)*SUMIFS(tbl_DCFC[C Montant &amp;#8364; HT],tbl_DCFC[OI_Year],K$1,tbl_DCFC[OI_Month],IF(RIGHT(K$2,3)="YTD","&lt;="&amp;LEFT(K$2,2)*1,K$2),tbl_DCFC[BU_Key],$A9)</f>
      </c>
      <c r="L9" s="466">
        <f>IFERROR(1/L$3,1)*SUMIFS(tbl_DCFC[C Montant &amp;#8364; HT],tbl_DCFC[OI_Year],L$1,tbl_DCFC[OI_Month],IF(RIGHT(L$2,3)="YTD","&lt;="&amp;LEFT(L$2,2)*1,L$2),tbl_DCFC[BU_Key],$A9)</f>
      </c>
      <c r="M9" s="466">
        <f>IFERROR(1/M$3,1)*SUMIFS(tbl_DCFC[C Montant &amp;#8364; HT],tbl_DCFC[OI_Year],M$1,tbl_DCFC[OI_Month],IF(RIGHT(M$2,3)="YTD","&lt;="&amp;LEFT(M$2,2)*1,M$2),tbl_DCFC[BU_Key],$A9)</f>
      </c>
      <c r="N9" s="466">
        <f>IFERROR(1/N$3,1)*SUMIFS(tbl_DCFC[C Montant &amp;#8364; HT],tbl_DCFC[OI_Year],N$1,tbl_DCFC[OI_Month],IF(RIGHT(N$2,3)="YTD","&lt;="&amp;LEFT(N$2,2)*1,N$2),tbl_DCFC[BU_Key],$A9)</f>
      </c>
      <c r="O9" s="466">
        <f>IFERROR(1/O$3,1)*SUMIFS(tbl_DCFC[C Montant &amp;#8364; HT],tbl_DCFC[OI_Year],O$1,tbl_DCFC[OI_Month],IF(RIGHT(O$2,3)="YTD","&lt;="&amp;LEFT(O$2,2)*1,O$2),tbl_DCFC[BU_Key],$A9)</f>
      </c>
      <c r="P9" s="466">
        <f>IFERROR(1/P$3,1)*SUMIFS(tbl_DCFC[C Montant &amp;#8364; HT],tbl_DCFC[OI_Year],P$1,tbl_DCFC[OI_Month],IF(RIGHT(P$2,3)="YTD","&lt;="&amp;LEFT(P$2,2)*1,P$2),tbl_DCFC[BU_Key],$A9)</f>
      </c>
      <c r="Q9" s="466">
        <f>IFERROR(1/Q$3,1)*SUMIFS(tbl_DCFC[C Montant &amp;#8364; HT],tbl_DCFC[OI_Year],Q$1,tbl_DCFC[OI_Month],IF(RIGHT(Q$2,3)="YTD","&lt;="&amp;LEFT(Q$2,2)*1,Q$2),tbl_DCFC[BU_Key],$A9)</f>
      </c>
      <c r="R9" s="466">
        <f>IFERROR(1/R$3,1)*SUMIFS(tbl_DCFC[C Montant &amp;#8364; HT],tbl_DCFC[OI_Year],R$1,tbl_DCFC[OI_Month],IF(RIGHT(R$2,3)="YTD","&lt;="&amp;LEFT(R$2,2)*1,R$2),tbl_DCFC[BU_Key],$A9)</f>
      </c>
      <c r="S9" s="466">
        <f>IFERROR(1/S$3,1)*SUMIFS(tbl_DCFC[C Montant &amp;#8364; HT],tbl_DCFC[OI_Year],S$1,tbl_DCFC[OI_Month],IF(RIGHT(S$2,3)="YTD","&lt;="&amp;LEFT(S$2,2)*1,S$2),tbl_DCFC[BU_Key],$A9)</f>
      </c>
      <c r="T9" s="466">
        <f>IFERROR(1/T$3,1)*SUMIFS(tbl_DCFC[C Montant &amp;#8364; HT],tbl_DCFC[OI_Year],T$1,tbl_DCFC[OI_Month],IF(RIGHT(T$2,3)="YTD","&lt;="&amp;LEFT(T$2,2)*1,T$2),tbl_DCFC[BU_Key],$A9)</f>
      </c>
      <c r="U9" s="3"/>
      <c r="V9" s="466">
        <f>G9</f>
      </c>
      <c r="W9" s="466">
        <f>$G9</f>
      </c>
      <c r="X9" s="466">
        <f>$G9</f>
      </c>
      <c r="Y9" s="466">
        <f>$G9</f>
      </c>
      <c r="Z9" s="466">
        <f>$G9</f>
      </c>
      <c r="AA9" s="466">
        <f>$G9</f>
      </c>
      <c r="AB9" s="466">
        <f>$G9</f>
      </c>
      <c r="AC9" s="466">
        <f>$G9</f>
      </c>
      <c r="AD9" s="466">
        <f>$G9</f>
      </c>
      <c r="AE9" s="466"/>
      <c r="AF9" s="466">
        <f>IFERROR(1/AF$3,1)*SUMIFS(tbl_DCFC[C Montant &amp;#8364; HT],tbl_DCFC[OI_Year],AF$1,tbl_DCFC[OI_Month],IF(RIGHT(AF$2,3)="YTD","&lt;="&amp;LEFT(AF$2,2)*1,AF$2),tbl_DCFC[BU_Key],$A9)</f>
      </c>
      <c r="AG9" s="466">
        <f>AK9/12*LEFT(AG$2,2)*1</f>
      </c>
      <c r="AH9" s="467">
        <f>AF9-AG9</f>
      </c>
      <c r="AI9" s="3"/>
      <c r="AJ9" s="466"/>
      <c r="AK9" s="466">
        <v>0</v>
      </c>
      <c r="AL9" s="3"/>
      <c r="AM9" s="3"/>
      <c r="AN9" s="3"/>
      <c r="AO9" s="3"/>
      <c r="AP9" s="3"/>
      <c r="AQ9" s="3"/>
      <c r="AR9" s="3"/>
      <c r="AS9" s="3"/>
    </row>
    <row x14ac:dyDescent="0.25" r="10" customHeight="1" ht="19.5">
      <c r="A10" s="3" t="s">
        <v>578</v>
      </c>
      <c r="B10" s="33" t="s">
        <v>579</v>
      </c>
      <c r="C10" s="195" t="s">
        <v>535</v>
      </c>
      <c r="D10" s="3"/>
      <c r="E10" s="466">
        <f>$AJ10/E$3</f>
      </c>
      <c r="F10" s="466">
        <f>IFERROR(1/F$3,1)*SUMIFS(Data!$S$3:$S$137,Data!$O$3:$O$137,F$1,Data!$P$3:$P$137,IF(RIGHT(F$2,3)="YTD","&lt;="&amp;LEFT(F$2,2)*1,F$2),Data!$K$3:$K$137,$B10)</f>
      </c>
      <c r="G10" s="466">
        <f>AK10/12</f>
      </c>
      <c r="H10" s="3"/>
      <c r="I10" s="466">
        <f>IFERROR(1/I$3,1)*SUMIFS(tbl_DCFC[C Montant &amp;#8364; HT],tbl_DCFC[OI_Year],I$1,tbl_DCFC[OI_Month],IF(RIGHT(I$2,3)="YTD","&lt;="&amp;LEFT(I$2,2)*1,I$2),tbl_DCFC[BU_Key],$A10)</f>
      </c>
      <c r="J10" s="466">
        <f>IFERROR(1/J$3,1)*SUMIFS(tbl_DCFC[C Montant &amp;#8364; HT],tbl_DCFC[OI_Year],J$1,tbl_DCFC[OI_Month],IF(RIGHT(J$2,3)="YTD","&lt;="&amp;LEFT(J$2,2)*1,J$2),tbl_DCFC[BU_Key],$A10)</f>
      </c>
      <c r="K10" s="466">
        <f>IFERROR(1/K$3,1)*SUMIFS(tbl_DCFC[C Montant &amp;#8364; HT],tbl_DCFC[OI_Year],K$1,tbl_DCFC[OI_Month],IF(RIGHT(K$2,3)="YTD","&lt;="&amp;LEFT(K$2,2)*1,K$2),tbl_DCFC[BU_Key],$A10)</f>
      </c>
      <c r="L10" s="466">
        <f>IFERROR(1/L$3,1)*SUMIFS(tbl_DCFC[C Montant &amp;#8364; HT],tbl_DCFC[OI_Year],L$1,tbl_DCFC[OI_Month],IF(RIGHT(L$2,3)="YTD","&lt;="&amp;LEFT(L$2,2)*1,L$2),tbl_DCFC[BU_Key],$A10)</f>
      </c>
      <c r="M10" s="466">
        <f>IFERROR(1/M$3,1)*SUMIFS(tbl_DCFC[C Montant &amp;#8364; HT],tbl_DCFC[OI_Year],M$1,tbl_DCFC[OI_Month],IF(RIGHT(M$2,3)="YTD","&lt;="&amp;LEFT(M$2,2)*1,M$2),tbl_DCFC[BU_Key],$A10)</f>
      </c>
      <c r="N10" s="466">
        <f>IFERROR(1/N$3,1)*SUMIFS(tbl_DCFC[C Montant &amp;#8364; HT],tbl_DCFC[OI_Year],N$1,tbl_DCFC[OI_Month],IF(RIGHT(N$2,3)="YTD","&lt;="&amp;LEFT(N$2,2)*1,N$2),tbl_DCFC[BU_Key],$A10)</f>
      </c>
      <c r="O10" s="466">
        <f>IFERROR(1/O$3,1)*SUMIFS(tbl_DCFC[C Montant &amp;#8364; HT],tbl_DCFC[OI_Year],O$1,tbl_DCFC[OI_Month],IF(RIGHT(O$2,3)="YTD","&lt;="&amp;LEFT(O$2,2)*1,O$2),tbl_DCFC[BU_Key],$A10)</f>
      </c>
      <c r="P10" s="466">
        <f>IFERROR(1/P$3,1)*SUMIFS(tbl_DCFC[C Montant &amp;#8364; HT],tbl_DCFC[OI_Year],P$1,tbl_DCFC[OI_Month],IF(RIGHT(P$2,3)="YTD","&lt;="&amp;LEFT(P$2,2)*1,P$2),tbl_DCFC[BU_Key],$A10)</f>
      </c>
      <c r="Q10" s="466">
        <f>IFERROR(1/Q$3,1)*SUMIFS(tbl_DCFC[C Montant &amp;#8364; HT],tbl_DCFC[OI_Year],Q$1,tbl_DCFC[OI_Month],IF(RIGHT(Q$2,3)="YTD","&lt;="&amp;LEFT(Q$2,2)*1,Q$2),tbl_DCFC[BU_Key],$A10)</f>
      </c>
      <c r="R10" s="466">
        <f>IFERROR(1/R$3,1)*SUMIFS(tbl_DCFC[C Montant &amp;#8364; HT],tbl_DCFC[OI_Year],R$1,tbl_DCFC[OI_Month],IF(RIGHT(R$2,3)="YTD","&lt;="&amp;LEFT(R$2,2)*1,R$2),tbl_DCFC[BU_Key],$A10)</f>
      </c>
      <c r="S10" s="466">
        <f>IFERROR(1/S$3,1)*SUMIFS(tbl_DCFC[C Montant &amp;#8364; HT],tbl_DCFC[OI_Year],S$1,tbl_DCFC[OI_Month],IF(RIGHT(S$2,3)="YTD","&lt;="&amp;LEFT(S$2,2)*1,S$2),tbl_DCFC[BU_Key],$A10)</f>
      </c>
      <c r="T10" s="466">
        <f>IFERROR(1/T$3,1)*SUMIFS(tbl_DCFC[C Montant &amp;#8364; HT],tbl_DCFC[OI_Year],T$1,tbl_DCFC[OI_Month],IF(RIGHT(T$2,3)="YTD","&lt;="&amp;LEFT(T$2,2)*1,T$2),tbl_DCFC[BU_Key],$A10)</f>
      </c>
      <c r="U10" s="3"/>
      <c r="V10" s="466">
        <f>G10</f>
      </c>
      <c r="W10" s="466">
        <f>$G10</f>
      </c>
      <c r="X10" s="466">
        <f>$G10</f>
      </c>
      <c r="Y10" s="466">
        <f>$G10</f>
      </c>
      <c r="Z10" s="466">
        <f>$G10</f>
      </c>
      <c r="AA10" s="466">
        <f>$G10</f>
      </c>
      <c r="AB10" s="466">
        <f>$G10</f>
      </c>
      <c r="AC10" s="466">
        <f>$G10</f>
      </c>
      <c r="AD10" s="466">
        <f>$G10</f>
      </c>
      <c r="AE10" s="466"/>
      <c r="AF10" s="466">
        <f>IFERROR(1/AF$3,1)*SUMIFS(tbl_DCFC[C Montant &amp;#8364; HT],tbl_DCFC[OI_Year],AF$1,tbl_DCFC[OI_Month],IF(RIGHT(AF$2,3)="YTD","&lt;="&amp;LEFT(AF$2,2)*1,AF$2),tbl_DCFC[BU_Key],$A10)</f>
      </c>
      <c r="AG10" s="466">
        <f>AK10/12*LEFT(AG$2,2)*1</f>
      </c>
      <c r="AH10" s="467">
        <f>AF10-AG10</f>
      </c>
      <c r="AI10" s="3"/>
      <c r="AJ10" s="466"/>
      <c r="AK10" s="466">
        <v>0</v>
      </c>
      <c r="AL10" s="3"/>
      <c r="AM10" s="3"/>
      <c r="AN10" s="3"/>
      <c r="AO10" s="3"/>
      <c r="AP10" s="3"/>
      <c r="AQ10" s="3"/>
      <c r="AR10" s="3"/>
      <c r="AS10" s="3"/>
    </row>
    <row x14ac:dyDescent="0.25" r="11" customHeight="1" ht="19.5">
      <c r="A11" s="33" t="s">
        <v>580</v>
      </c>
      <c r="B11" s="33" t="s">
        <v>581</v>
      </c>
      <c r="C11" s="195" t="s">
        <v>535</v>
      </c>
      <c r="D11" s="3"/>
      <c r="E11" s="466">
        <f>$AJ11/E$3</f>
      </c>
      <c r="F11" s="466">
        <f>IFERROR(1/F$3,1)*SUMIFS(Data!$S$3:$S$137,Data!$O$3:$O$137,F$1,Data!$P$3:$P$137,IF(RIGHT(F$2,3)="YTD","&lt;="&amp;LEFT(F$2,2)*1,F$2),Data!$K$3:$K$137,$B11)</f>
      </c>
      <c r="G11" s="466">
        <f>AK11/12</f>
      </c>
      <c r="H11" s="3"/>
      <c r="I11" s="466">
        <f>IFERROR(1/I$3,1)*SUMIFS(tbl_DCFC[C Montant &amp;#8364; HT],tbl_DCFC[OI_Year],I$1,tbl_DCFC[OI_Month],IF(RIGHT(I$2,3)="YTD","&lt;="&amp;LEFT(I$2,2)*1,I$2),tbl_DCFC[BU_Key],$A11)</f>
      </c>
      <c r="J11" s="466">
        <f>IFERROR(1/J$3,1)*SUMIFS(tbl_DCFC[C Montant &amp;#8364; HT],tbl_DCFC[OI_Year],J$1,tbl_DCFC[OI_Month],IF(RIGHT(J$2,3)="YTD","&lt;="&amp;LEFT(J$2,2)*1,J$2),tbl_DCFC[BU_Key],$A11)</f>
      </c>
      <c r="K11" s="466">
        <f>IFERROR(1/K$3,1)*SUMIFS(tbl_DCFC[C Montant &amp;#8364; HT],tbl_DCFC[OI_Year],K$1,tbl_DCFC[OI_Month],IF(RIGHT(K$2,3)="YTD","&lt;="&amp;LEFT(K$2,2)*1,K$2),tbl_DCFC[BU_Key],$A11)</f>
      </c>
      <c r="L11" s="466">
        <f>IFERROR(1/L$3,1)*SUMIFS(tbl_DCFC[C Montant &amp;#8364; HT],tbl_DCFC[OI_Year],L$1,tbl_DCFC[OI_Month],IF(RIGHT(L$2,3)="YTD","&lt;="&amp;LEFT(L$2,2)*1,L$2),tbl_DCFC[BU_Key],$A11)</f>
      </c>
      <c r="M11" s="466">
        <f>IFERROR(1/M$3,1)*SUMIFS(tbl_DCFC[C Montant &amp;#8364; HT],tbl_DCFC[OI_Year],M$1,tbl_DCFC[OI_Month],IF(RIGHT(M$2,3)="YTD","&lt;="&amp;LEFT(M$2,2)*1,M$2),tbl_DCFC[BU_Key],$A11)</f>
      </c>
      <c r="N11" s="466">
        <f>IFERROR(1/N$3,1)*SUMIFS(tbl_DCFC[C Montant &amp;#8364; HT],tbl_DCFC[OI_Year],N$1,tbl_DCFC[OI_Month],IF(RIGHT(N$2,3)="YTD","&lt;="&amp;LEFT(N$2,2)*1,N$2),tbl_DCFC[BU_Key],$A11)</f>
      </c>
      <c r="O11" s="466">
        <f>IFERROR(1/O$3,1)*SUMIFS(tbl_DCFC[C Montant &amp;#8364; HT],tbl_DCFC[OI_Year],O$1,tbl_DCFC[OI_Month],IF(RIGHT(O$2,3)="YTD","&lt;="&amp;LEFT(O$2,2)*1,O$2),tbl_DCFC[BU_Key],$A11)</f>
      </c>
      <c r="P11" s="466">
        <f>IFERROR(1/P$3,1)*SUMIFS(tbl_DCFC[C Montant &amp;#8364; HT],tbl_DCFC[OI_Year],P$1,tbl_DCFC[OI_Month],IF(RIGHT(P$2,3)="YTD","&lt;="&amp;LEFT(P$2,2)*1,P$2),tbl_DCFC[BU_Key],$A11)</f>
      </c>
      <c r="Q11" s="466">
        <f>IFERROR(1/Q$3,1)*SUMIFS(tbl_DCFC[C Montant &amp;#8364; HT],tbl_DCFC[OI_Year],Q$1,tbl_DCFC[OI_Month],IF(RIGHT(Q$2,3)="YTD","&lt;="&amp;LEFT(Q$2,2)*1,Q$2),tbl_DCFC[BU_Key],$A11)</f>
      </c>
      <c r="R11" s="466">
        <f>IFERROR(1/R$3,1)*SUMIFS(tbl_DCFC[C Montant &amp;#8364; HT],tbl_DCFC[OI_Year],R$1,tbl_DCFC[OI_Month],IF(RIGHT(R$2,3)="YTD","&lt;="&amp;LEFT(R$2,2)*1,R$2),tbl_DCFC[BU_Key],$A11)</f>
      </c>
      <c r="S11" s="466">
        <f>IFERROR(1/S$3,1)*SUMIFS(tbl_DCFC[C Montant &amp;#8364; HT],tbl_DCFC[OI_Year],S$1,tbl_DCFC[OI_Month],IF(RIGHT(S$2,3)="YTD","&lt;="&amp;LEFT(S$2,2)*1,S$2),tbl_DCFC[BU_Key],$A11)</f>
      </c>
      <c r="T11" s="466">
        <f>IFERROR(1/T$3,1)*SUMIFS(tbl_DCFC[C Montant &amp;#8364; HT],tbl_DCFC[OI_Year],T$1,tbl_DCFC[OI_Month],IF(RIGHT(T$2,3)="YTD","&lt;="&amp;LEFT(T$2,2)*1,T$2),tbl_DCFC[BU_Key],$A11)</f>
      </c>
      <c r="U11" s="3"/>
      <c r="V11" s="466">
        <f>G11</f>
      </c>
      <c r="W11" s="466">
        <f>$G11</f>
      </c>
      <c r="X11" s="466">
        <f>$G11</f>
      </c>
      <c r="Y11" s="466">
        <f>$G11</f>
      </c>
      <c r="Z11" s="466">
        <f>$G11</f>
      </c>
      <c r="AA11" s="466">
        <f>$G11</f>
      </c>
      <c r="AB11" s="466">
        <f>$G11</f>
      </c>
      <c r="AC11" s="466">
        <f>$G11</f>
      </c>
      <c r="AD11" s="466">
        <f>$G11</f>
      </c>
      <c r="AE11" s="466"/>
      <c r="AF11" s="466">
        <f>IFERROR(1/AF$3,1)*SUMIFS(tbl_DCFC[C Montant &amp;#8364; HT],tbl_DCFC[OI_Year],AF$1,tbl_DCFC[OI_Month],IF(RIGHT(AF$2,3)="YTD","&lt;="&amp;LEFT(AF$2,2)*1,AF$2),tbl_DCFC[BU_Key],$A11)</f>
      </c>
      <c r="AG11" s="466">
        <f>AK11/12*LEFT(AG$2,2)*1</f>
      </c>
      <c r="AH11" s="467">
        <f>AF11-AG11</f>
      </c>
      <c r="AI11" s="3"/>
      <c r="AJ11" s="466"/>
      <c r="AK11" s="466">
        <v>700000</v>
      </c>
      <c r="AL11" s="3"/>
      <c r="AM11" s="3"/>
      <c r="AN11" s="3"/>
      <c r="AO11" s="3"/>
      <c r="AP11" s="3"/>
      <c r="AQ11" s="3"/>
      <c r="AR11" s="3"/>
      <c r="AS11" s="3"/>
    </row>
    <row x14ac:dyDescent="0.25" r="12" customHeight="1" ht="19.5">
      <c r="A12" s="41" t="s">
        <v>582</v>
      </c>
      <c r="B12" s="33" t="s">
        <v>458</v>
      </c>
      <c r="C12" s="66"/>
      <c r="D12" s="3"/>
      <c r="E12" s="466">
        <f>$AJ12/E$3</f>
      </c>
      <c r="F12" s="466">
        <f>IFERROR(1/F$3,1)*SUMIFS(Data!$S$3:$S$137,Data!$O$3:$O$137,F$1,Data!$P$3:$P$137,IF(RIGHT(F$2,3)="YTD","&lt;="&amp;LEFT(F$2,2)*1,F$2),Data!$K$3:$K$137,$B12)</f>
      </c>
      <c r="G12" s="466">
        <f>AK12/12</f>
      </c>
      <c r="H12" s="3"/>
      <c r="I12" s="466">
        <f>IFERROR(1/I$3,1)*SUMIFS(tbl_DCFC[C Montant &amp;#8364; HT],tbl_DCFC[OI_Year],I$1,tbl_DCFC[OI_Month],IF(RIGHT(I$2,3)="YTD","&lt;="&amp;LEFT(I$2,2)*1,I$2),tbl_DCFC[BU_Key],$A12)</f>
      </c>
      <c r="J12" s="466">
        <f>IFERROR(1/J$3,1)*SUMIFS(tbl_DCFC[C Montant &amp;#8364; HT],tbl_DCFC[OI_Year],J$1,tbl_DCFC[OI_Month],IF(RIGHT(J$2,3)="YTD","&lt;="&amp;LEFT(J$2,2)*1,J$2),tbl_DCFC[BU_Key],$A12)</f>
      </c>
      <c r="K12" s="466">
        <f>IFERROR(1/K$3,1)*SUMIFS(tbl_DCFC[C Montant &amp;#8364; HT],tbl_DCFC[OI_Year],K$1,tbl_DCFC[OI_Month],IF(RIGHT(K$2,3)="YTD","&lt;="&amp;LEFT(K$2,2)*1,K$2),tbl_DCFC[BU_Key],$A12)</f>
      </c>
      <c r="L12" s="466">
        <f>IFERROR(1/L$3,1)*SUMIFS(tbl_DCFC[C Montant &amp;#8364; HT],tbl_DCFC[OI_Year],L$1,tbl_DCFC[OI_Month],IF(RIGHT(L$2,3)="YTD","&lt;="&amp;LEFT(L$2,2)*1,L$2),tbl_DCFC[BU_Key],$A12)</f>
      </c>
      <c r="M12" s="466">
        <f>IFERROR(1/M$3,1)*SUMIFS(tbl_DCFC[C Montant &amp;#8364; HT],tbl_DCFC[OI_Year],M$1,tbl_DCFC[OI_Month],IF(RIGHT(M$2,3)="YTD","&lt;="&amp;LEFT(M$2,2)*1,M$2),tbl_DCFC[BU_Key],$A12)</f>
      </c>
      <c r="N12" s="466">
        <f>IFERROR(1/N$3,1)*SUMIFS(tbl_DCFC[C Montant &amp;#8364; HT],tbl_DCFC[OI_Year],N$1,tbl_DCFC[OI_Month],IF(RIGHT(N$2,3)="YTD","&lt;="&amp;LEFT(N$2,2)*1,N$2),tbl_DCFC[BU_Key],$A12)</f>
      </c>
      <c r="O12" s="466">
        <f>IFERROR(1/O$3,1)*SUMIFS(tbl_DCFC[C Montant &amp;#8364; HT],tbl_DCFC[OI_Year],O$1,tbl_DCFC[OI_Month],IF(RIGHT(O$2,3)="YTD","&lt;="&amp;LEFT(O$2,2)*1,O$2),tbl_DCFC[BU_Key],$A12)</f>
      </c>
      <c r="P12" s="466">
        <f>IFERROR(1/P$3,1)*SUMIFS(tbl_DCFC[C Montant &amp;#8364; HT],tbl_DCFC[OI_Year],P$1,tbl_DCFC[OI_Month],IF(RIGHT(P$2,3)="YTD","&lt;="&amp;LEFT(P$2,2)*1,P$2),tbl_DCFC[BU_Key],$A12)</f>
      </c>
      <c r="Q12" s="466">
        <f>IFERROR(1/Q$3,1)*SUMIFS(tbl_DCFC[C Montant &amp;#8364; HT],tbl_DCFC[OI_Year],Q$1,tbl_DCFC[OI_Month],IF(RIGHT(Q$2,3)="YTD","&lt;="&amp;LEFT(Q$2,2)*1,Q$2),tbl_DCFC[BU_Key],$A12)</f>
      </c>
      <c r="R12" s="466">
        <f>IFERROR(1/R$3,1)*SUMIFS(tbl_DCFC[C Montant &amp;#8364; HT],tbl_DCFC[OI_Year],R$1,tbl_DCFC[OI_Month],IF(RIGHT(R$2,3)="YTD","&lt;="&amp;LEFT(R$2,2)*1,R$2),tbl_DCFC[BU_Key],$A12)</f>
      </c>
      <c r="S12" s="466">
        <f>IFERROR(1/S$3,1)*SUMIFS(tbl_DCFC[C Montant &amp;#8364; HT],tbl_DCFC[OI_Year],S$1,tbl_DCFC[OI_Month],IF(RIGHT(S$2,3)="YTD","&lt;="&amp;LEFT(S$2,2)*1,S$2),tbl_DCFC[BU_Key],$A12)</f>
      </c>
      <c r="T12" s="466">
        <f>IFERROR(1/T$3,1)*SUMIFS(tbl_DCFC[C Montant &amp;#8364; HT],tbl_DCFC[OI_Year],T$1,tbl_DCFC[OI_Month],IF(RIGHT(T$2,3)="YTD","&lt;="&amp;LEFT(T$2,2)*1,T$2),tbl_DCFC[BU_Key],$A12)</f>
      </c>
      <c r="U12" s="3"/>
      <c r="V12" s="466">
        <f>G12</f>
      </c>
      <c r="W12" s="466">
        <f>$G12</f>
      </c>
      <c r="X12" s="466">
        <f>$G12</f>
      </c>
      <c r="Y12" s="466">
        <f>$G12</f>
      </c>
      <c r="Z12" s="466">
        <f>$G12</f>
      </c>
      <c r="AA12" s="466">
        <f>$G12</f>
      </c>
      <c r="AB12" s="466">
        <f>$G12</f>
      </c>
      <c r="AC12" s="466">
        <f>$G12</f>
      </c>
      <c r="AD12" s="466">
        <f>$G12</f>
      </c>
      <c r="AE12" s="466"/>
      <c r="AF12" s="466">
        <f>IFERROR(1/AF$3,1)*SUMIFS(tbl_DCFC[C Montant &amp;#8364; HT],tbl_DCFC[OI_Year],AF$1,tbl_DCFC[OI_Month],IF(RIGHT(AF$2,3)="YTD","&lt;="&amp;LEFT(AF$2,2)*1,AF$2),tbl_DCFC[BU_Key],$A12)</f>
      </c>
      <c r="AG12" s="466">
        <f>AK12/12*LEFT(AG$2,2)*1</f>
      </c>
      <c r="AH12" s="467">
        <f>AF12-AG12</f>
      </c>
      <c r="AI12" s="3"/>
      <c r="AJ12" s="466"/>
      <c r="AK12" s="469">
        <v>0</v>
      </c>
      <c r="AL12" s="3"/>
      <c r="AM12" s="3"/>
      <c r="AN12" s="3"/>
      <c r="AO12" s="3"/>
      <c r="AP12" s="3"/>
      <c r="AQ12" s="3"/>
      <c r="AR12" s="3"/>
      <c r="AS12" s="3"/>
    </row>
    <row x14ac:dyDescent="0.25" r="13" customHeight="1" ht="19.5">
      <c r="A13" s="3"/>
      <c r="B13" s="459"/>
      <c r="C13" s="66"/>
      <c r="D13" s="3"/>
      <c r="E13" s="460"/>
      <c r="F13" s="460"/>
      <c r="G13" s="461"/>
      <c r="H13" s="3"/>
      <c r="I13" s="461"/>
      <c r="J13" s="461"/>
      <c r="K13" s="461"/>
      <c r="L13" s="461"/>
      <c r="M13" s="461"/>
      <c r="N13" s="460"/>
      <c r="O13" s="460"/>
      <c r="P13" s="460"/>
      <c r="Q13" s="460"/>
      <c r="R13" s="460"/>
      <c r="S13" s="460"/>
      <c r="T13" s="460"/>
      <c r="U13" s="3"/>
      <c r="V13" s="489"/>
      <c r="W13" s="460"/>
      <c r="X13" s="460"/>
      <c r="Y13" s="460"/>
      <c r="Z13" s="460"/>
      <c r="AA13" s="460"/>
      <c r="AB13" s="460"/>
      <c r="AC13" s="460"/>
      <c r="AD13" s="462"/>
      <c r="AE13" s="462"/>
      <c r="AF13" s="463"/>
      <c r="AG13" s="464"/>
      <c r="AH13" s="440"/>
      <c r="AI13" s="3"/>
      <c r="AJ13" s="463"/>
      <c r="AK13" s="465"/>
      <c r="AL13" s="3"/>
      <c r="AM13" s="3"/>
      <c r="AN13" s="3"/>
      <c r="AO13" s="3"/>
      <c r="AP13" s="3"/>
      <c r="AQ13" s="3"/>
      <c r="AR13" s="3"/>
      <c r="AS13" s="3"/>
    </row>
    <row x14ac:dyDescent="0.25" r="14" customHeight="1" ht="19.5" hidden="1">
      <c r="A14" s="3"/>
      <c r="B14" s="478" t="s">
        <v>583</v>
      </c>
      <c r="C14" s="66"/>
      <c r="D14" s="3"/>
      <c r="E14" s="460"/>
      <c r="F14" s="460"/>
      <c r="G14" s="461"/>
      <c r="H14" s="3"/>
      <c r="I14" s="461"/>
      <c r="J14" s="461"/>
      <c r="K14" s="461"/>
      <c r="L14" s="461"/>
      <c r="M14" s="461"/>
      <c r="N14" s="460"/>
      <c r="O14" s="460"/>
      <c r="P14" s="460"/>
      <c r="Q14" s="460"/>
      <c r="R14" s="460"/>
      <c r="S14" s="460"/>
      <c r="T14" s="460"/>
      <c r="U14" s="3"/>
      <c r="V14" s="489"/>
      <c r="W14" s="460"/>
      <c r="X14" s="460"/>
      <c r="Y14" s="460"/>
      <c r="Z14" s="460"/>
      <c r="AA14" s="460"/>
      <c r="AB14" s="460"/>
      <c r="AC14" s="460"/>
      <c r="AD14" s="462"/>
      <c r="AE14" s="462"/>
      <c r="AF14" s="463"/>
      <c r="AG14" s="464"/>
      <c r="AH14" s="440"/>
      <c r="AI14" s="3"/>
      <c r="AJ14" s="463"/>
      <c r="AK14" s="465"/>
      <c r="AL14" s="3"/>
      <c r="AM14" s="3"/>
      <c r="AN14" s="3"/>
      <c r="AO14" s="3"/>
      <c r="AP14" s="3"/>
      <c r="AQ14" s="3"/>
      <c r="AR14" s="3"/>
      <c r="AS14" s="3"/>
    </row>
    <row x14ac:dyDescent="0.25" r="15" customHeight="1" ht="19.5" hidden="1">
      <c r="A15" s="33" t="s">
        <v>533</v>
      </c>
      <c r="B15" s="33" t="s">
        <v>534</v>
      </c>
      <c r="C15" s="195" t="s">
        <v>535</v>
      </c>
      <c r="D15" s="3"/>
      <c r="E15" s="466">
        <f>$AJ15/E$3</f>
      </c>
      <c r="F15" s="466">
        <f>IFERROR(1/F$3,1)*SUMIFS(Data!$S$3:$S$137,Data!$O$3:$O$137,F$1,Data!$P$3:$P$137,IF(RIGHT(F$2,3)="YTD","&lt;="&amp;LEFT(F$2,2)*1,F$2),Data!$K$3:$K$137,$B15)</f>
      </c>
      <c r="G15" s="466">
        <f>AK15/12</f>
      </c>
      <c r="H15" s="3"/>
      <c r="I15" s="466">
        <f>IFERROR(1/I$3,1)*SUMIFS(Data!$S$3:$S$137,Data!$O$3:$O$137,I$1,Data!$P$3:$P$137,IF(RIGHT(I$2,3)="YTD","&lt;="&amp;LEFT(I$2,2)*1,I$2),Data!$K$3:$K$137,$B15)</f>
      </c>
      <c r="J15" s="466">
        <f>IFERROR(1/J$3,1)*SUMIFS(Data!$S$3:$S$137,Data!$O$3:$O$137,J$1,Data!$P$3:$P$137,IF(RIGHT(J$2,3)="YTD","&lt;="&amp;LEFT(J$2,2)*1,J$2),Data!$K$3:$K$137,$B15)</f>
      </c>
      <c r="K15" s="466">
        <f>IFERROR(1/K$3,1)*SUMIFS(Data!$S$3:$S$137,Data!$O$3:$O$137,K$1,Data!$P$3:$P$137,IF(RIGHT(K$2,3)="YTD","&lt;="&amp;LEFT(K$2,2)*1,K$2),Data!$K$3:$K$137,$B15)</f>
      </c>
      <c r="L15" s="466">
        <f>IFERROR(1/L$3,1)*SUMIFS(Data!$S$3:$S$137,Data!$O$3:$O$137,L$1,Data!$P$3:$P$137,IF(RIGHT(L$2,3)="YTD","&lt;="&amp;LEFT(L$2,2)*1,L$2),Data!$K$3:$K$137,$B15)</f>
      </c>
      <c r="M15" s="466">
        <f>IFERROR(1/M$3,1)*SUMIFS(Data!$S$3:$S$137,Data!$O$3:$O$137,M$1,Data!$P$3:$P$137,IF(RIGHT(M$2,3)="YTD","&lt;="&amp;LEFT(M$2,2)*1,M$2),Data!$K$3:$K$137,$B15)</f>
      </c>
      <c r="N15" s="466">
        <f>SUMIFS(Data!$S$3:$S$137,Data!$O$3:$O$137,N$1,Data!$P$3:$P$137,N$2,Data!$K$3:$K$137,$B15)</f>
      </c>
      <c r="O15" s="466">
        <f>SUMIFS(Data!$S$3:$S$137,Data!$O$3:$O$137,O$1,Data!$P$3:$P$137,O$2,Data!$K$3:$K$137,$B15)</f>
      </c>
      <c r="P15" s="466">
        <f>SUMIFS(Data!$S$3:$S$137,Data!$O$3:$O$137,P$1,Data!$P$3:$P$137,P$2,Data!$K$3:$K$137,$B15)</f>
      </c>
      <c r="Q15" s="466">
        <f>SUMIFS(Data!$S$3:$S$137,Data!$O$3:$O$137,Q$1,Data!$P$3:$P$137,Q$2,Data!$K$3:$K$137,$B15)</f>
      </c>
      <c r="R15" s="466">
        <f>SUMIFS(Data!$S$3:$S$137,Data!$O$3:$O$137,R$1,Data!$P$3:$P$137,R$2,Data!$K$3:$K$137,$B15)</f>
      </c>
      <c r="S15" s="466">
        <f>SUMIFS(Data!$S$3:$S$137,Data!$O$3:$O$137,S$1,Data!$P$3:$P$137,S$2,Data!$K$3:$K$137,$B15)</f>
      </c>
      <c r="T15" s="466">
        <f>SUMIFS(Data!$S$3:$S$137,Data!$O$3:$O$137,T$1,Data!$P$3:$P$137,T$2,Data!$K$3:$K$137,$B15)</f>
      </c>
      <c r="U15" s="3"/>
      <c r="V15" s="466">
        <f>G15</f>
      </c>
      <c r="W15" s="466">
        <f>$G15</f>
      </c>
      <c r="X15" s="466">
        <f>$G15</f>
      </c>
      <c r="Y15" s="466">
        <f>$G15</f>
      </c>
      <c r="Z15" s="466">
        <f>$G15</f>
      </c>
      <c r="AA15" s="466">
        <f>$G15</f>
      </c>
      <c r="AB15" s="466">
        <f>$G15</f>
      </c>
      <c r="AC15" s="466">
        <f>$G15</f>
      </c>
      <c r="AD15" s="466">
        <f>$G15</f>
      </c>
      <c r="AE15" s="466"/>
      <c r="AF15" s="466">
        <f>IFERROR(1/AF$3,1)*SUMIFS(Data!$S$3:$S$137,Data!$O$3:$O$137,AF$1,Data!$P$3:$P$137,IF(RIGHT(AF$2,3)="YTD","&lt;="&amp;LEFT(AF$2,2)*1,AF$2),Data!$K$3:$K$137,$B15)</f>
      </c>
      <c r="AG15" s="466">
        <f>AK15/12*LEFT(AG$2,2)*1</f>
      </c>
      <c r="AH15" s="467">
        <f>AF15-AG15</f>
      </c>
      <c r="AI15" s="3"/>
      <c r="AJ15" s="466">
        <v>5075</v>
      </c>
      <c r="AK15" s="466">
        <v>370000</v>
      </c>
      <c r="AL15" s="3"/>
      <c r="AM15" s="3"/>
      <c r="AN15" s="3"/>
      <c r="AO15" s="3"/>
      <c r="AP15" s="3"/>
      <c r="AQ15" s="3"/>
      <c r="AR15" s="3"/>
      <c r="AS15" s="3"/>
    </row>
    <row x14ac:dyDescent="0.25" r="16" customHeight="1" ht="19.5" hidden="1">
      <c r="A16" s="3" t="s">
        <v>536</v>
      </c>
      <c r="B16" s="33" t="s">
        <v>537</v>
      </c>
      <c r="C16" s="195" t="s">
        <v>535</v>
      </c>
      <c r="D16" s="3"/>
      <c r="E16" s="466">
        <f>$AJ16/E$3</f>
      </c>
      <c r="F16" s="466">
        <f>IFERROR(1/F$3,1)*SUMIFS(Data!$S$3:$S$137,Data!$O$3:$O$137,F$1,Data!$P$3:$P$137,IF(RIGHT(F$2,3)="YTD","&lt;="&amp;LEFT(F$2,2)*1,F$2),Data!$K$3:$K$137,$B16)</f>
      </c>
      <c r="G16" s="466">
        <f>AK16/12</f>
      </c>
      <c r="H16" s="3"/>
      <c r="I16" s="466">
        <f>IFERROR(1/I$3,1)*SUMIFS(Data!$S$3:$S$137,Data!$O$3:$O$137,I$1,Data!$P$3:$P$137,IF(RIGHT(I$2,3)="YTD","&lt;="&amp;LEFT(I$2,2)*1,I$2),Data!$K$3:$K$137,$B16)</f>
      </c>
      <c r="J16" s="466">
        <f>IFERROR(1/J$3,1)*SUMIFS(Data!$S$3:$S$137,Data!$O$3:$O$137,J$1,Data!$P$3:$P$137,IF(RIGHT(J$2,3)="YTD","&lt;="&amp;LEFT(J$2,2)*1,J$2),Data!$K$3:$K$137,$B16)</f>
      </c>
      <c r="K16" s="466">
        <f>IFERROR(1/K$3,1)*SUMIFS(Data!$S$3:$S$137,Data!$O$3:$O$137,K$1,Data!$P$3:$P$137,IF(RIGHT(K$2,3)="YTD","&lt;="&amp;LEFT(K$2,2)*1,K$2),Data!$K$3:$K$137,$B16)</f>
      </c>
      <c r="L16" s="466">
        <f>IFERROR(1/L$3,1)*SUMIFS(Data!$S$3:$S$137,Data!$O$3:$O$137,L$1,Data!$P$3:$P$137,IF(RIGHT(L$2,3)="YTD","&lt;="&amp;LEFT(L$2,2)*1,L$2),Data!$K$3:$K$137,$B16)</f>
      </c>
      <c r="M16" s="466">
        <f>IFERROR(1/M$3,1)*SUMIFS(Data!$S$3:$S$137,Data!$O$3:$O$137,M$1,Data!$P$3:$P$137,IF(RIGHT(M$2,3)="YTD","&lt;="&amp;LEFT(M$2,2)*1,M$2),Data!$K$3:$K$137,$B16)</f>
      </c>
      <c r="N16" s="466">
        <f>SUMIFS(Data!$S$3:$S$137,Data!$O$3:$O$137,N$1,Data!$P$3:$P$137,N$2,Data!$K$3:$K$137,$B16)</f>
      </c>
      <c r="O16" s="466">
        <f>SUMIFS(Data!$S$3:$S$137,Data!$O$3:$O$137,O$1,Data!$P$3:$P$137,O$2,Data!$K$3:$K$137,$B16)</f>
      </c>
      <c r="P16" s="466">
        <f>SUMIFS(Data!$S$3:$S$137,Data!$O$3:$O$137,P$1,Data!$P$3:$P$137,P$2,Data!$K$3:$K$137,$B16)</f>
      </c>
      <c r="Q16" s="466">
        <f>SUMIFS(Data!$S$3:$S$137,Data!$O$3:$O$137,Q$1,Data!$P$3:$P$137,Q$2,Data!$K$3:$K$137,$B16)</f>
      </c>
      <c r="R16" s="466">
        <f>SUMIFS(Data!$S$3:$S$137,Data!$O$3:$O$137,R$1,Data!$P$3:$P$137,R$2,Data!$K$3:$K$137,$B16)</f>
      </c>
      <c r="S16" s="466">
        <f>SUMIFS(Data!$S$3:$S$137,Data!$O$3:$O$137,S$1,Data!$P$3:$P$137,S$2,Data!$K$3:$K$137,$B16)</f>
      </c>
      <c r="T16" s="466">
        <f>SUMIFS(Data!$S$3:$S$137,Data!$O$3:$O$137,T$1,Data!$P$3:$P$137,T$2,Data!$K$3:$K$137,$B16)</f>
      </c>
      <c r="U16" s="3"/>
      <c r="V16" s="466">
        <f>G16</f>
      </c>
      <c r="W16" s="466">
        <f>$G16</f>
      </c>
      <c r="X16" s="466">
        <f>$G16</f>
      </c>
      <c r="Y16" s="466">
        <f>$G16</f>
      </c>
      <c r="Z16" s="466">
        <f>$G16</f>
      </c>
      <c r="AA16" s="466">
        <f>$G16</f>
      </c>
      <c r="AB16" s="466">
        <f>$G16</f>
      </c>
      <c r="AC16" s="466">
        <f>$G16</f>
      </c>
      <c r="AD16" s="466">
        <f>$G16</f>
      </c>
      <c r="AE16" s="466"/>
      <c r="AF16" s="466">
        <f>IFERROR(1/AF$3,1)*SUMIFS(Data!$S$3:$S$137,Data!$O$3:$O$137,AF$1,Data!$P$3:$P$137,IF(RIGHT(AF$2,3)="YTD","&lt;="&amp;LEFT(AF$2,2)*1,AF$2),Data!$K$3:$K$137,$B16)</f>
      </c>
      <c r="AG16" s="466">
        <f>AK16/12*LEFT(AG$2,2)*1</f>
      </c>
      <c r="AH16" s="467">
        <f>AF16-AG16</f>
      </c>
      <c r="AI16" s="3"/>
      <c r="AJ16" s="466">
        <v>11490</v>
      </c>
      <c r="AK16" s="466">
        <v>0</v>
      </c>
      <c r="AL16" s="3"/>
      <c r="AM16" s="3"/>
      <c r="AN16" s="3"/>
      <c r="AO16" s="3"/>
      <c r="AP16" s="3"/>
      <c r="AQ16" s="3"/>
      <c r="AR16" s="3"/>
      <c r="AS16" s="3"/>
    </row>
    <row x14ac:dyDescent="0.25" r="17" customHeight="1" ht="19.5" hidden="1">
      <c r="A17" s="3"/>
      <c r="B17" s="33" t="s">
        <v>538</v>
      </c>
      <c r="C17" s="195" t="s">
        <v>535</v>
      </c>
      <c r="D17" s="3"/>
      <c r="E17" s="466">
        <f>$AJ17/E$3</f>
      </c>
      <c r="F17" s="466">
        <f>IFERROR(1/F$3,1)*SUMIFS(Data!$S$3:$S$137,Data!$O$3:$O$137,F$1,Data!$P$3:$P$137,IF(RIGHT(F$2,3)="YTD","&lt;="&amp;LEFT(F$2,2)*1,F$2),Data!$K$3:$K$137,$B17)</f>
      </c>
      <c r="G17" s="466">
        <f>AK17/12</f>
      </c>
      <c r="H17" s="3"/>
      <c r="I17" s="466">
        <f>IFERROR(1/I$3,1)*SUMIFS(Data!$S$3:$S$137,Data!$O$3:$O$137,I$1,Data!$P$3:$P$137,IF(RIGHT(I$2,3)="YTD","&lt;="&amp;LEFT(I$2,2)*1,I$2),Data!$K$3:$K$137,$B17)</f>
      </c>
      <c r="J17" s="466">
        <f>IFERROR(1/J$3,1)*SUMIFS(Data!$S$3:$S$137,Data!$O$3:$O$137,J$1,Data!$P$3:$P$137,IF(RIGHT(J$2,3)="YTD","&lt;="&amp;LEFT(J$2,2)*1,J$2),Data!$K$3:$K$137,$B17)</f>
      </c>
      <c r="K17" s="466">
        <f>IFERROR(1/K$3,1)*SUMIFS(Data!$S$3:$S$137,Data!$O$3:$O$137,K$1,Data!$P$3:$P$137,IF(RIGHT(K$2,3)="YTD","&lt;="&amp;LEFT(K$2,2)*1,K$2),Data!$K$3:$K$137,$B17)</f>
      </c>
      <c r="L17" s="466">
        <f>IFERROR(1/L$3,1)*SUMIFS(Data!$S$3:$S$137,Data!$O$3:$O$137,L$1,Data!$P$3:$P$137,IF(RIGHT(L$2,3)="YTD","&lt;="&amp;LEFT(L$2,2)*1,L$2),Data!$K$3:$K$137,$B17)</f>
      </c>
      <c r="M17" s="466">
        <f>IFERROR(1/M$3,1)*SUMIFS(Data!$S$3:$S$137,Data!$O$3:$O$137,M$1,Data!$P$3:$P$137,IF(RIGHT(M$2,3)="YTD","&lt;="&amp;LEFT(M$2,2)*1,M$2),Data!$K$3:$K$137,$B17)</f>
      </c>
      <c r="N17" s="466">
        <f>SUMIFS(Data!$S$3:$S$137,Data!$O$3:$O$137,N$1,Data!$P$3:$P$137,N$2,Data!$K$3:$K$137,$B17)</f>
      </c>
      <c r="O17" s="466">
        <f>SUMIFS(Data!$S$3:$S$137,Data!$O$3:$O$137,O$1,Data!$P$3:$P$137,O$2,Data!$K$3:$K$137,$B17)</f>
      </c>
      <c r="P17" s="466">
        <f>SUMIFS(Data!$S$3:$S$137,Data!$O$3:$O$137,P$1,Data!$P$3:$P$137,P$2,Data!$K$3:$K$137,$B17)</f>
      </c>
      <c r="Q17" s="466">
        <f>SUMIFS(Data!$S$3:$S$137,Data!$O$3:$O$137,Q$1,Data!$P$3:$P$137,Q$2,Data!$K$3:$K$137,$B17)</f>
      </c>
      <c r="R17" s="466">
        <f>SUMIFS(Data!$S$3:$S$137,Data!$O$3:$O$137,R$1,Data!$P$3:$P$137,R$2,Data!$K$3:$K$137,$B17)</f>
      </c>
      <c r="S17" s="466">
        <f>SUMIFS(Data!$S$3:$S$137,Data!$O$3:$O$137,S$1,Data!$P$3:$P$137,S$2,Data!$K$3:$K$137,$B17)</f>
      </c>
      <c r="T17" s="466">
        <f>SUMIFS(Data!$S$3:$S$137,Data!$O$3:$O$137,T$1,Data!$P$3:$P$137,T$2,Data!$K$3:$K$137,$B17)</f>
      </c>
      <c r="U17" s="3"/>
      <c r="V17" s="466">
        <f>G17</f>
      </c>
      <c r="W17" s="466">
        <f>$G17</f>
      </c>
      <c r="X17" s="466">
        <f>$G17</f>
      </c>
      <c r="Y17" s="466">
        <f>$G17</f>
      </c>
      <c r="Z17" s="466">
        <f>$G17</f>
      </c>
      <c r="AA17" s="466">
        <f>$G17</f>
      </c>
      <c r="AB17" s="466">
        <f>$G17</f>
      </c>
      <c r="AC17" s="466">
        <f>$G17</f>
      </c>
      <c r="AD17" s="466">
        <f>$G17</f>
      </c>
      <c r="AE17" s="466"/>
      <c r="AF17" s="466">
        <f>IFERROR(1/AF$3,1)*SUMIFS(Data!$S$3:$S$137,Data!$O$3:$O$137,AF$1,Data!$P$3:$P$137,IF(RIGHT(AF$2,3)="YTD","&lt;="&amp;LEFT(AF$2,2)*1,AF$2),Data!$K$3:$K$137,$B17)</f>
      </c>
      <c r="AG17" s="466">
        <f>AK17/12*LEFT(AG$2,2)*1</f>
      </c>
      <c r="AH17" s="467">
        <f>AF17-AG17</f>
      </c>
      <c r="AI17" s="3"/>
      <c r="AJ17" s="466">
        <v>534520</v>
      </c>
      <c r="AK17" s="466">
        <v>0</v>
      </c>
      <c r="AL17" s="3"/>
      <c r="AM17" s="3"/>
      <c r="AN17" s="3"/>
      <c r="AO17" s="3"/>
      <c r="AP17" s="3"/>
      <c r="AQ17" s="3"/>
      <c r="AR17" s="3"/>
      <c r="AS17" s="3"/>
    </row>
    <row x14ac:dyDescent="0.25" r="18" customHeight="1" ht="19.5" hidden="1">
      <c r="A18" s="3" t="s">
        <v>539</v>
      </c>
      <c r="B18" s="33" t="s">
        <v>540</v>
      </c>
      <c r="C18" s="195" t="s">
        <v>535</v>
      </c>
      <c r="D18" s="3"/>
      <c r="E18" s="466">
        <f>$AJ18/E$3</f>
      </c>
      <c r="F18" s="466">
        <f>IFERROR(1/F$3,1)*SUMIFS(Data!$S$3:$S$137,Data!$O$3:$O$137,F$1,Data!$P$3:$P$137,IF(RIGHT(F$2,3)="YTD","&lt;="&amp;LEFT(F$2,2)*1,F$2),Data!$K$3:$K$137,$B18)</f>
      </c>
      <c r="G18" s="466">
        <f>AK18/12</f>
      </c>
      <c r="H18" s="3"/>
      <c r="I18" s="466">
        <f>IFERROR(1/I$3,1)*SUMIFS(Data!$S$3:$S$137,Data!$O$3:$O$137,I$1,Data!$P$3:$P$137,IF(RIGHT(I$2,3)="YTD","&lt;="&amp;LEFT(I$2,2)*1,I$2),Data!$K$3:$K$137,$B18)</f>
      </c>
      <c r="J18" s="466">
        <f>IFERROR(1/J$3,1)*SUMIFS(Data!$S$3:$S$137,Data!$O$3:$O$137,J$1,Data!$P$3:$P$137,IF(RIGHT(J$2,3)="YTD","&lt;="&amp;LEFT(J$2,2)*1,J$2),Data!$K$3:$K$137,$B18)</f>
      </c>
      <c r="K18" s="466">
        <f>IFERROR(1/K$3,1)*SUMIFS(Data!$S$3:$S$137,Data!$O$3:$O$137,K$1,Data!$P$3:$P$137,IF(RIGHT(K$2,3)="YTD","&lt;="&amp;LEFT(K$2,2)*1,K$2),Data!$K$3:$K$137,$B18)</f>
      </c>
      <c r="L18" s="466">
        <f>IFERROR(1/L$3,1)*SUMIFS(Data!$S$3:$S$137,Data!$O$3:$O$137,L$1,Data!$P$3:$P$137,IF(RIGHT(L$2,3)="YTD","&lt;="&amp;LEFT(L$2,2)*1,L$2),Data!$K$3:$K$137,$B18)</f>
      </c>
      <c r="M18" s="466">
        <f>IFERROR(1/M$3,1)*SUMIFS(Data!$S$3:$S$137,Data!$O$3:$O$137,M$1,Data!$P$3:$P$137,IF(RIGHT(M$2,3)="YTD","&lt;="&amp;LEFT(M$2,2)*1,M$2),Data!$K$3:$K$137,$B18)</f>
      </c>
      <c r="N18" s="466">
        <f>SUMIFS(Data!$S$3:$S$137,Data!$O$3:$O$137,N$1,Data!$P$3:$P$137,N$2,Data!$K$3:$K$137,$B18)</f>
      </c>
      <c r="O18" s="466">
        <f>SUMIFS(Data!$S$3:$S$137,Data!$O$3:$O$137,O$1,Data!$P$3:$P$137,O$2,Data!$K$3:$K$137,$B18)</f>
      </c>
      <c r="P18" s="466">
        <f>SUMIFS(Data!$S$3:$S$137,Data!$O$3:$O$137,P$1,Data!$P$3:$P$137,P$2,Data!$K$3:$K$137,$B18)</f>
      </c>
      <c r="Q18" s="466">
        <f>SUMIFS(Data!$S$3:$S$137,Data!$O$3:$O$137,Q$1,Data!$P$3:$P$137,Q$2,Data!$K$3:$K$137,$B18)</f>
      </c>
      <c r="R18" s="466">
        <f>SUMIFS(Data!$S$3:$S$137,Data!$O$3:$O$137,R$1,Data!$P$3:$P$137,R$2,Data!$K$3:$K$137,$B18)</f>
      </c>
      <c r="S18" s="466">
        <f>SUMIFS(Data!$S$3:$S$137,Data!$O$3:$O$137,S$1,Data!$P$3:$P$137,S$2,Data!$K$3:$K$137,$B18)</f>
      </c>
      <c r="T18" s="466">
        <f>SUMIFS(Data!$S$3:$S$137,Data!$O$3:$O$137,T$1,Data!$P$3:$P$137,T$2,Data!$K$3:$K$137,$B18)</f>
      </c>
      <c r="U18" s="3"/>
      <c r="V18" s="466">
        <f>G18</f>
      </c>
      <c r="W18" s="466">
        <f>$G18</f>
      </c>
      <c r="X18" s="466">
        <f>$G18</f>
      </c>
      <c r="Y18" s="466">
        <f>$G18</f>
      </c>
      <c r="Z18" s="466">
        <f>$G18</f>
      </c>
      <c r="AA18" s="466">
        <f>$G18</f>
      </c>
      <c r="AB18" s="466">
        <f>$G18</f>
      </c>
      <c r="AC18" s="466">
        <f>$G18</f>
      </c>
      <c r="AD18" s="466">
        <f>$G18</f>
      </c>
      <c r="AE18" s="466"/>
      <c r="AF18" s="466">
        <f>IFERROR(1/AF$3,1)*SUMIFS(Data!$S$3:$S$137,Data!$O$3:$O$137,AF$1,Data!$P$3:$P$137,IF(RIGHT(AF$2,3)="YTD","&lt;="&amp;LEFT(AF$2,2)*1,AF$2),Data!$K$3:$K$137,$B18)</f>
      </c>
      <c r="AG18" s="466">
        <f>AK18/12*LEFT(AG$2,2)*1</f>
      </c>
      <c r="AH18" s="467">
        <f>AF18-AG18</f>
      </c>
      <c r="AI18" s="3"/>
      <c r="AJ18" s="466">
        <v>13410</v>
      </c>
      <c r="AK18" s="466">
        <v>0</v>
      </c>
      <c r="AL18" s="3"/>
      <c r="AM18" s="3"/>
      <c r="AN18" s="3"/>
      <c r="AO18" s="3"/>
      <c r="AP18" s="3"/>
      <c r="AQ18" s="3"/>
      <c r="AR18" s="3"/>
      <c r="AS18" s="3"/>
    </row>
    <row x14ac:dyDescent="0.25" r="19" customHeight="1" ht="19.5" hidden="1">
      <c r="A19" s="3" t="s">
        <v>541</v>
      </c>
      <c r="B19" s="33" t="s">
        <v>542</v>
      </c>
      <c r="C19" s="195" t="s">
        <v>535</v>
      </c>
      <c r="D19" s="3"/>
      <c r="E19" s="466">
        <f>$AJ19/E$3</f>
      </c>
      <c r="F19" s="466">
        <f>IFERROR(1/F$3,1)*SUMIFS(Data!$S$3:$S$137,Data!$O$3:$O$137,F$1,Data!$P$3:$P$137,IF(RIGHT(F$2,3)="YTD","&lt;="&amp;LEFT(F$2,2)*1,F$2),Data!$K$3:$K$137,$B19)</f>
      </c>
      <c r="G19" s="466">
        <f>AK19/12</f>
      </c>
      <c r="H19" s="3"/>
      <c r="I19" s="466">
        <f>IFERROR(1/I$3,1)*SUMIFS(Data!$S$3:$S$137,Data!$O$3:$O$137,I$1,Data!$P$3:$P$137,IF(RIGHT(I$2,3)="YTD","&lt;="&amp;LEFT(I$2,2)*1,I$2),Data!$K$3:$K$137,$B19)</f>
      </c>
      <c r="J19" s="466">
        <f>IFERROR(1/J$3,1)*SUMIFS(Data!$S$3:$S$137,Data!$O$3:$O$137,J$1,Data!$P$3:$P$137,IF(RIGHT(J$2,3)="YTD","&lt;="&amp;LEFT(J$2,2)*1,J$2),Data!$K$3:$K$137,$B19)</f>
      </c>
      <c r="K19" s="466">
        <f>IFERROR(1/K$3,1)*SUMIFS(Data!$S$3:$S$137,Data!$O$3:$O$137,K$1,Data!$P$3:$P$137,IF(RIGHT(K$2,3)="YTD","&lt;="&amp;LEFT(K$2,2)*1,K$2),Data!$K$3:$K$137,$B19)</f>
      </c>
      <c r="L19" s="466">
        <f>IFERROR(1/L$3,1)*SUMIFS(Data!$S$3:$S$137,Data!$O$3:$O$137,L$1,Data!$P$3:$P$137,IF(RIGHT(L$2,3)="YTD","&lt;="&amp;LEFT(L$2,2)*1,L$2),Data!$K$3:$K$137,$B19)</f>
      </c>
      <c r="M19" s="466">
        <f>IFERROR(1/M$3,1)*SUMIFS(Data!$S$3:$S$137,Data!$O$3:$O$137,M$1,Data!$P$3:$P$137,IF(RIGHT(M$2,3)="YTD","&lt;="&amp;LEFT(M$2,2)*1,M$2),Data!$K$3:$K$137,$B19)</f>
      </c>
      <c r="N19" s="466">
        <f>SUMIFS(Data!$S$3:$S$137,Data!$O$3:$O$137,N$1,Data!$P$3:$P$137,N$2,Data!$K$3:$K$137,$B19)</f>
      </c>
      <c r="O19" s="466">
        <f>SUMIFS(Data!$S$3:$S$137,Data!$O$3:$O$137,O$1,Data!$P$3:$P$137,O$2,Data!$K$3:$K$137,$B19)</f>
      </c>
      <c r="P19" s="466">
        <f>SUMIFS(Data!$S$3:$S$137,Data!$O$3:$O$137,P$1,Data!$P$3:$P$137,P$2,Data!$K$3:$K$137,$B19)</f>
      </c>
      <c r="Q19" s="466">
        <f>SUMIFS(Data!$S$3:$S$137,Data!$O$3:$O$137,Q$1,Data!$P$3:$P$137,Q$2,Data!$K$3:$K$137,$B19)</f>
      </c>
      <c r="R19" s="466">
        <f>SUMIFS(Data!$S$3:$S$137,Data!$O$3:$O$137,R$1,Data!$P$3:$P$137,R$2,Data!$K$3:$K$137,$B19)</f>
      </c>
      <c r="S19" s="466">
        <f>SUMIFS(Data!$S$3:$S$137,Data!$O$3:$O$137,S$1,Data!$P$3:$P$137,S$2,Data!$K$3:$K$137,$B19)</f>
      </c>
      <c r="T19" s="466">
        <f>SUMIFS(Data!$S$3:$S$137,Data!$O$3:$O$137,T$1,Data!$P$3:$P$137,T$2,Data!$K$3:$K$137,$B19)</f>
      </c>
      <c r="U19" s="3"/>
      <c r="V19" s="466">
        <f>G19</f>
      </c>
      <c r="W19" s="466">
        <f>$G19</f>
      </c>
      <c r="X19" s="466">
        <f>$G19</f>
      </c>
      <c r="Y19" s="466">
        <f>$G19</f>
      </c>
      <c r="Z19" s="466">
        <f>$G19</f>
      </c>
      <c r="AA19" s="466">
        <f>$G19</f>
      </c>
      <c r="AB19" s="466">
        <f>$G19</f>
      </c>
      <c r="AC19" s="466">
        <f>$G19</f>
      </c>
      <c r="AD19" s="466">
        <f>$G19</f>
      </c>
      <c r="AE19" s="466"/>
      <c r="AF19" s="466">
        <f>IFERROR(1/AF$3,1)*SUMIFS(Data!$S$3:$S$137,Data!$O$3:$O$137,AF$1,Data!$P$3:$P$137,IF(RIGHT(AF$2,3)="YTD","&lt;="&amp;LEFT(AF$2,2)*1,AF$2),Data!$K$3:$K$137,$B19)</f>
      </c>
      <c r="AG19" s="466">
        <f>AK19/12*LEFT(AG$2,2)*1</f>
      </c>
      <c r="AH19" s="467">
        <f>AF19-AG19</f>
      </c>
      <c r="AI19" s="3"/>
      <c r="AJ19" s="466">
        <v>103515</v>
      </c>
      <c r="AK19" s="469">
        <v>0</v>
      </c>
      <c r="AL19" s="3"/>
      <c r="AM19" s="3"/>
      <c r="AN19" s="3"/>
      <c r="AO19" s="3"/>
      <c r="AP19" s="3"/>
      <c r="AQ19" s="3"/>
      <c r="AR19" s="3"/>
      <c r="AS19" s="3"/>
    </row>
    <row x14ac:dyDescent="0.25" r="20" customHeight="1" ht="19.5" hidden="1">
      <c r="A20" s="33" t="s">
        <v>543</v>
      </c>
      <c r="B20" s="33" t="s">
        <v>544</v>
      </c>
      <c r="C20" s="195" t="s">
        <v>535</v>
      </c>
      <c r="D20" s="3"/>
      <c r="E20" s="466">
        <f>$AJ20/E$3</f>
      </c>
      <c r="F20" s="466">
        <f>IFERROR(1/F$3,1)*SUMIFS(Data!$S$3:$S$137,Data!$O$3:$O$137,F$1,Data!$P$3:$P$137,IF(RIGHT(F$2,3)="YTD","&lt;="&amp;LEFT(F$2,2)*1,F$2),Data!$K$3:$K$137,$B20)</f>
      </c>
      <c r="G20" s="466">
        <f>AK20/12</f>
      </c>
      <c r="H20" s="3"/>
      <c r="I20" s="466">
        <f>IFERROR(1/I$3,1)*SUMIFS(Data!$S$3:$S$137,Data!$O$3:$O$137,I$1,Data!$P$3:$P$137,IF(RIGHT(I$2,3)="YTD","&lt;="&amp;LEFT(I$2,2)*1,I$2),Data!$K$3:$K$137,$B20)</f>
      </c>
      <c r="J20" s="466">
        <f>IFERROR(1/J$3,1)*SUMIFS(Data!$S$3:$S$137,Data!$O$3:$O$137,J$1,Data!$P$3:$P$137,IF(RIGHT(J$2,3)="YTD","&lt;="&amp;LEFT(J$2,2)*1,J$2),Data!$K$3:$K$137,$B20)</f>
      </c>
      <c r="K20" s="466">
        <f>IFERROR(1/K$3,1)*SUMIFS(Data!$S$3:$S$137,Data!$O$3:$O$137,K$1,Data!$P$3:$P$137,IF(RIGHT(K$2,3)="YTD","&lt;="&amp;LEFT(K$2,2)*1,K$2),Data!$K$3:$K$137,$B20)</f>
      </c>
      <c r="L20" s="466">
        <f>IFERROR(1/L$3,1)*SUMIFS(Data!$S$3:$S$137,Data!$O$3:$O$137,L$1,Data!$P$3:$P$137,IF(RIGHT(L$2,3)="YTD","&lt;="&amp;LEFT(L$2,2)*1,L$2),Data!$K$3:$K$137,$B20)</f>
      </c>
      <c r="M20" s="466">
        <f>IFERROR(1/M$3,1)*SUMIFS(Data!$S$3:$S$137,Data!$O$3:$O$137,M$1,Data!$P$3:$P$137,IF(RIGHT(M$2,3)="YTD","&lt;="&amp;LEFT(M$2,2)*1,M$2),Data!$K$3:$K$137,$B20)</f>
      </c>
      <c r="N20" s="466">
        <f>SUMIFS(Data!$S$3:$S$137,Data!$O$3:$O$137,N$1,Data!$P$3:$P$137,N$2,Data!$K$3:$K$137,$B20)</f>
      </c>
      <c r="O20" s="466">
        <f>SUMIFS(Data!$S$3:$S$137,Data!$O$3:$O$137,O$1,Data!$P$3:$P$137,O$2,Data!$K$3:$K$137,$B20)</f>
      </c>
      <c r="P20" s="466">
        <f>SUMIFS(Data!$S$3:$S$137,Data!$O$3:$O$137,P$1,Data!$P$3:$P$137,P$2,Data!$K$3:$K$137,$B20)</f>
      </c>
      <c r="Q20" s="466">
        <f>SUMIFS(Data!$S$3:$S$137,Data!$O$3:$O$137,Q$1,Data!$P$3:$P$137,Q$2,Data!$K$3:$K$137,$B20)</f>
      </c>
      <c r="R20" s="466">
        <f>SUMIFS(Data!$S$3:$S$137,Data!$O$3:$O$137,R$1,Data!$P$3:$P$137,R$2,Data!$K$3:$K$137,$B20)</f>
      </c>
      <c r="S20" s="466">
        <f>SUMIFS(Data!$S$3:$S$137,Data!$O$3:$O$137,S$1,Data!$P$3:$P$137,S$2,Data!$K$3:$K$137,$B20)</f>
      </c>
      <c r="T20" s="466">
        <f>SUMIFS(Data!$S$3:$S$137,Data!$O$3:$O$137,T$1,Data!$P$3:$P$137,T$2,Data!$K$3:$K$137,$B20)</f>
      </c>
      <c r="U20" s="3"/>
      <c r="V20" s="466">
        <f>G20</f>
      </c>
      <c r="W20" s="466">
        <f>$G20</f>
      </c>
      <c r="X20" s="466">
        <f>$G20</f>
      </c>
      <c r="Y20" s="466">
        <f>$G20</f>
      </c>
      <c r="Z20" s="466">
        <f>$G20</f>
      </c>
      <c r="AA20" s="466">
        <f>$G20</f>
      </c>
      <c r="AB20" s="466">
        <f>$G20</f>
      </c>
      <c r="AC20" s="466">
        <f>$G20</f>
      </c>
      <c r="AD20" s="466">
        <f>$G20</f>
      </c>
      <c r="AE20" s="466"/>
      <c r="AF20" s="466">
        <f>IFERROR(1/AF$3,1)*SUMIFS(Data!$S$3:$S$137,Data!$O$3:$O$137,AF$1,Data!$P$3:$P$137,IF(RIGHT(AF$2,3)="YTD","&lt;="&amp;LEFT(AF$2,2)*1,AF$2),Data!$K$3:$K$137,$B20)</f>
      </c>
      <c r="AG20" s="466">
        <f>AK20/12*LEFT(AG$2,2)*1</f>
      </c>
      <c r="AH20" s="467">
        <f>AF20-AG20</f>
      </c>
      <c r="AI20" s="3"/>
      <c r="AJ20" s="466">
        <v>113419</v>
      </c>
      <c r="AK20" s="469">
        <v>250000</v>
      </c>
      <c r="AL20" s="3"/>
      <c r="AM20" s="3"/>
      <c r="AN20" s="3"/>
      <c r="AO20" s="3"/>
      <c r="AP20" s="3"/>
      <c r="AQ20" s="3"/>
      <c r="AR20" s="3"/>
      <c r="AS20" s="3"/>
    </row>
    <row x14ac:dyDescent="0.25" r="21" customHeight="1" ht="19.5" hidden="1">
      <c r="A21" s="33" t="s">
        <v>545</v>
      </c>
      <c r="B21" s="33" t="s">
        <v>546</v>
      </c>
      <c r="C21" s="195" t="s">
        <v>535</v>
      </c>
      <c r="D21" s="3"/>
      <c r="E21" s="466">
        <f>$AJ21/E$3</f>
      </c>
      <c r="F21" s="466">
        <f>IFERROR(1/F$3,1)*SUMIFS(Data!$S$3:$S$137,Data!$O$3:$O$137,F$1,Data!$P$3:$P$137,IF(RIGHT(F$2,3)="YTD","&lt;="&amp;LEFT(F$2,2)*1,F$2),Data!$K$3:$K$137,$B21)</f>
      </c>
      <c r="G21" s="466">
        <f>AK21/12</f>
      </c>
      <c r="H21" s="3"/>
      <c r="I21" s="466">
        <f>IFERROR(1/I$3,1)*SUMIFS(Data!$S$3:$S$137,Data!$O$3:$O$137,I$1,Data!$P$3:$P$137,IF(RIGHT(I$2,3)="YTD","&lt;="&amp;LEFT(I$2,2)*1,I$2),Data!$K$3:$K$137,$B21)</f>
      </c>
      <c r="J21" s="466">
        <f>IFERROR(1/J$3,1)*SUMIFS(Data!$S$3:$S$137,Data!$O$3:$O$137,J$1,Data!$P$3:$P$137,IF(RIGHT(J$2,3)="YTD","&lt;="&amp;LEFT(J$2,2)*1,J$2),Data!$K$3:$K$137,$B21)</f>
      </c>
      <c r="K21" s="466">
        <f>IFERROR(1/K$3,1)*SUMIFS(Data!$S$3:$S$137,Data!$O$3:$O$137,K$1,Data!$P$3:$P$137,IF(RIGHT(K$2,3)="YTD","&lt;="&amp;LEFT(K$2,2)*1,K$2),Data!$K$3:$K$137,$B21)</f>
      </c>
      <c r="L21" s="466">
        <f>IFERROR(1/L$3,1)*SUMIFS(Data!$S$3:$S$137,Data!$O$3:$O$137,L$1,Data!$P$3:$P$137,IF(RIGHT(L$2,3)="YTD","&lt;="&amp;LEFT(L$2,2)*1,L$2),Data!$K$3:$K$137,$B21)</f>
      </c>
      <c r="M21" s="466">
        <f>IFERROR(1/M$3,1)*SUMIFS(Data!$S$3:$S$137,Data!$O$3:$O$137,M$1,Data!$P$3:$P$137,IF(RIGHT(M$2,3)="YTD","&lt;="&amp;LEFT(M$2,2)*1,M$2),Data!$K$3:$K$137,$B21)</f>
      </c>
      <c r="N21" s="466">
        <f>SUMIFS(Data!$S$3:$S$137,Data!$O$3:$O$137,N$1,Data!$P$3:$P$137,N$2,Data!$K$3:$K$137,$B21)</f>
      </c>
      <c r="O21" s="466">
        <f>SUMIFS(Data!$S$3:$S$137,Data!$O$3:$O$137,O$1,Data!$P$3:$P$137,O$2,Data!$K$3:$K$137,$B21)</f>
      </c>
      <c r="P21" s="466">
        <f>SUMIFS(Data!$S$3:$S$137,Data!$O$3:$O$137,P$1,Data!$P$3:$P$137,P$2,Data!$K$3:$K$137,$B21)</f>
      </c>
      <c r="Q21" s="466">
        <f>SUMIFS(Data!$S$3:$S$137,Data!$O$3:$O$137,Q$1,Data!$P$3:$P$137,Q$2,Data!$K$3:$K$137,$B21)</f>
      </c>
      <c r="R21" s="466">
        <f>SUMIFS(Data!$S$3:$S$137,Data!$O$3:$O$137,R$1,Data!$P$3:$P$137,R$2,Data!$K$3:$K$137,$B21)</f>
      </c>
      <c r="S21" s="466">
        <f>SUMIFS(Data!$S$3:$S$137,Data!$O$3:$O$137,S$1,Data!$P$3:$P$137,S$2,Data!$K$3:$K$137,$B21)</f>
      </c>
      <c r="T21" s="466">
        <f>SUMIFS(Data!$S$3:$S$137,Data!$O$3:$O$137,T$1,Data!$P$3:$P$137,T$2,Data!$K$3:$K$137,$B21)</f>
      </c>
      <c r="U21" s="3"/>
      <c r="V21" s="466">
        <f>G21</f>
      </c>
      <c r="W21" s="466">
        <f>$G21</f>
      </c>
      <c r="X21" s="466">
        <f>$G21</f>
      </c>
      <c r="Y21" s="466">
        <f>$G21</f>
      </c>
      <c r="Z21" s="466">
        <f>$G21</f>
      </c>
      <c r="AA21" s="466">
        <f>$G21</f>
      </c>
      <c r="AB21" s="466">
        <f>$G21</f>
      </c>
      <c r="AC21" s="466">
        <f>$G21</f>
      </c>
      <c r="AD21" s="466">
        <f>$G21</f>
      </c>
      <c r="AE21" s="466"/>
      <c r="AF21" s="466">
        <f>IFERROR(1/AF$3,1)*SUMIFS(Data!$S$3:$S$137,Data!$O$3:$O$137,AF$1,Data!$P$3:$P$137,IF(RIGHT(AF$2,3)="YTD","&lt;="&amp;LEFT(AF$2,2)*1,AF$2),Data!$K$3:$K$137,$B21)</f>
      </c>
      <c r="AG21" s="466">
        <f>AK21/12*LEFT(AG$2,2)*1</f>
      </c>
      <c r="AH21" s="467">
        <f>AF21-AG21</f>
      </c>
      <c r="AI21" s="3"/>
      <c r="AJ21" s="466">
        <v>66513</v>
      </c>
      <c r="AK21" s="469">
        <v>45000</v>
      </c>
      <c r="AL21" s="3"/>
      <c r="AM21" s="3"/>
      <c r="AN21" s="3"/>
      <c r="AO21" s="3"/>
      <c r="AP21" s="3"/>
      <c r="AQ21" s="3"/>
      <c r="AR21" s="3"/>
      <c r="AS21" s="3"/>
    </row>
    <row x14ac:dyDescent="0.25" r="22" customHeight="1" ht="19.5" hidden="1">
      <c r="A22" s="33" t="s">
        <v>547</v>
      </c>
      <c r="B22" s="33" t="s">
        <v>548</v>
      </c>
      <c r="C22" s="195" t="s">
        <v>535</v>
      </c>
      <c r="D22" s="3"/>
      <c r="E22" s="466">
        <f>$AJ22/E$3</f>
      </c>
      <c r="F22" s="466">
        <f>IFERROR(1/F$3,1)*SUMIFS(Data!$S$3:$S$137,Data!$O$3:$O$137,F$1,Data!$P$3:$P$137,IF(RIGHT(F$2,3)="YTD","&lt;="&amp;LEFT(F$2,2)*1,F$2),Data!$K$3:$K$137,$B22)</f>
      </c>
      <c r="G22" s="466">
        <f>AK22/12</f>
      </c>
      <c r="H22" s="3"/>
      <c r="I22" s="466">
        <f>IFERROR(1/I$3,1)*SUMIFS(Data!$S$3:$S$137,Data!$O$3:$O$137,I$1,Data!$P$3:$P$137,IF(RIGHT(I$2,3)="YTD","&lt;="&amp;LEFT(I$2,2)*1,I$2),Data!$K$3:$K$137,$B22)</f>
      </c>
      <c r="J22" s="466">
        <f>IFERROR(1/J$3,1)*SUMIFS(Data!$S$3:$S$137,Data!$O$3:$O$137,J$1,Data!$P$3:$P$137,IF(RIGHT(J$2,3)="YTD","&lt;="&amp;LEFT(J$2,2)*1,J$2),Data!$K$3:$K$137,$B22)</f>
      </c>
      <c r="K22" s="466">
        <f>IFERROR(1/K$3,1)*SUMIFS(Data!$S$3:$S$137,Data!$O$3:$O$137,K$1,Data!$P$3:$P$137,IF(RIGHT(K$2,3)="YTD","&lt;="&amp;LEFT(K$2,2)*1,K$2),Data!$K$3:$K$137,$B22)</f>
      </c>
      <c r="L22" s="466">
        <f>IFERROR(1/L$3,1)*SUMIFS(Data!$S$3:$S$137,Data!$O$3:$O$137,L$1,Data!$P$3:$P$137,IF(RIGHT(L$2,3)="YTD","&lt;="&amp;LEFT(L$2,2)*1,L$2),Data!$K$3:$K$137,$B22)</f>
      </c>
      <c r="M22" s="466">
        <f>IFERROR(1/M$3,1)*SUMIFS(Data!$S$3:$S$137,Data!$O$3:$O$137,M$1,Data!$P$3:$P$137,IF(RIGHT(M$2,3)="YTD","&lt;="&amp;LEFT(M$2,2)*1,M$2),Data!$K$3:$K$137,$B22)</f>
      </c>
      <c r="N22" s="466">
        <f>SUMIFS(Data!$S$3:$S$137,Data!$O$3:$O$137,N$1,Data!$P$3:$P$137,N$2,Data!$K$3:$K$137,$B22)</f>
      </c>
      <c r="O22" s="466">
        <f>SUMIFS(Data!$S$3:$S$137,Data!$O$3:$O$137,O$1,Data!$P$3:$P$137,O$2,Data!$K$3:$K$137,$B22)</f>
      </c>
      <c r="P22" s="466">
        <f>SUMIFS(Data!$S$3:$S$137,Data!$O$3:$O$137,P$1,Data!$P$3:$P$137,P$2,Data!$K$3:$K$137,$B22)</f>
      </c>
      <c r="Q22" s="466">
        <f>SUMIFS(Data!$S$3:$S$137,Data!$O$3:$O$137,Q$1,Data!$P$3:$P$137,Q$2,Data!$K$3:$K$137,$B22)</f>
      </c>
      <c r="R22" s="466">
        <f>SUMIFS(Data!$S$3:$S$137,Data!$O$3:$O$137,R$1,Data!$P$3:$P$137,R$2,Data!$K$3:$K$137,$B22)</f>
      </c>
      <c r="S22" s="466">
        <f>SUMIFS(Data!$S$3:$S$137,Data!$O$3:$O$137,S$1,Data!$P$3:$P$137,S$2,Data!$K$3:$K$137,$B22)</f>
      </c>
      <c r="T22" s="466">
        <f>SUMIFS(Data!$S$3:$S$137,Data!$O$3:$O$137,T$1,Data!$P$3:$P$137,T$2,Data!$K$3:$K$137,$B22)</f>
      </c>
      <c r="U22" s="3"/>
      <c r="V22" s="466">
        <f>G22</f>
      </c>
      <c r="W22" s="466">
        <f>$G22</f>
      </c>
      <c r="X22" s="466">
        <f>$G22</f>
      </c>
      <c r="Y22" s="466">
        <f>$G22</f>
      </c>
      <c r="Z22" s="466">
        <f>$G22</f>
      </c>
      <c r="AA22" s="466">
        <f>$G22</f>
      </c>
      <c r="AB22" s="466">
        <f>$G22</f>
      </c>
      <c r="AC22" s="466">
        <f>$G22</f>
      </c>
      <c r="AD22" s="466">
        <f>$G22</f>
      </c>
      <c r="AE22" s="466"/>
      <c r="AF22" s="466">
        <f>IFERROR(1/AF$3,1)*SUMIFS(Data!$S$3:$S$137,Data!$O$3:$O$137,AF$1,Data!$P$3:$P$137,IF(RIGHT(AF$2,3)="YTD","&lt;="&amp;LEFT(AF$2,2)*1,AF$2),Data!$K$3:$K$137,$B22)</f>
      </c>
      <c r="AG22" s="466">
        <f>AK22/12*LEFT(AG$2,2)*1</f>
      </c>
      <c r="AH22" s="467">
        <f>AF22-AG22</f>
      </c>
      <c r="AI22" s="3"/>
      <c r="AJ22" s="466">
        <v>3650</v>
      </c>
      <c r="AK22" s="466">
        <v>250000</v>
      </c>
      <c r="AL22" s="3"/>
      <c r="AM22" s="3"/>
      <c r="AN22" s="3"/>
      <c r="AO22" s="3"/>
      <c r="AP22" s="3"/>
      <c r="AQ22" s="3"/>
      <c r="AR22" s="3"/>
      <c r="AS22" s="3"/>
    </row>
    <row x14ac:dyDescent="0.25" r="23" customHeight="1" ht="19.5" hidden="1">
      <c r="A23" s="3" t="s">
        <v>549</v>
      </c>
      <c r="B23" s="33" t="s">
        <v>550</v>
      </c>
      <c r="C23" s="195" t="s">
        <v>535</v>
      </c>
      <c r="D23" s="3"/>
      <c r="E23" s="466">
        <f>$AJ23/E$3</f>
      </c>
      <c r="F23" s="466">
        <f>IFERROR(1/F$3,1)*SUMIFS(Data!$S$3:$S$137,Data!$O$3:$O$137,F$1,Data!$P$3:$P$137,IF(RIGHT(F$2,3)="YTD","&lt;="&amp;LEFT(F$2,2)*1,F$2),Data!$K$3:$K$137,$B23)</f>
      </c>
      <c r="G23" s="466">
        <f>AK23/12</f>
      </c>
      <c r="H23" s="3"/>
      <c r="I23" s="466">
        <f>IFERROR(1/I$3,1)*SUMIFS(Data!$S$3:$S$137,Data!$O$3:$O$137,I$1,Data!$P$3:$P$137,IF(RIGHT(I$2,3)="YTD","&lt;="&amp;LEFT(I$2,2)*1,I$2),Data!$K$3:$K$137,$B23)</f>
      </c>
      <c r="J23" s="466">
        <f>IFERROR(1/J$3,1)*SUMIFS(Data!$S$3:$S$137,Data!$O$3:$O$137,J$1,Data!$P$3:$P$137,IF(RIGHT(J$2,3)="YTD","&lt;="&amp;LEFT(J$2,2)*1,J$2),Data!$K$3:$K$137,$B23)</f>
      </c>
      <c r="K23" s="466">
        <f>IFERROR(1/K$3,1)*SUMIFS(Data!$S$3:$S$137,Data!$O$3:$O$137,K$1,Data!$P$3:$P$137,IF(RIGHT(K$2,3)="YTD","&lt;="&amp;LEFT(K$2,2)*1,K$2),Data!$K$3:$K$137,$B23)</f>
      </c>
      <c r="L23" s="466">
        <f>IFERROR(1/L$3,1)*SUMIFS(Data!$S$3:$S$137,Data!$O$3:$O$137,L$1,Data!$P$3:$P$137,IF(RIGHT(L$2,3)="YTD","&lt;="&amp;LEFT(L$2,2)*1,L$2),Data!$K$3:$K$137,$B23)</f>
      </c>
      <c r="M23" s="466">
        <f>IFERROR(1/M$3,1)*SUMIFS(Data!$S$3:$S$137,Data!$O$3:$O$137,M$1,Data!$P$3:$P$137,IF(RIGHT(M$2,3)="YTD","&lt;="&amp;LEFT(M$2,2)*1,M$2),Data!$K$3:$K$137,$B23)</f>
      </c>
      <c r="N23" s="466">
        <f>SUMIFS(Data!$S$3:$S$137,Data!$O$3:$O$137,N$1,Data!$P$3:$P$137,N$2,Data!$K$3:$K$137,$B23)</f>
      </c>
      <c r="O23" s="466">
        <f>SUMIFS(Data!$S$3:$S$137,Data!$O$3:$O$137,O$1,Data!$P$3:$P$137,O$2,Data!$K$3:$K$137,$B23)</f>
      </c>
      <c r="P23" s="466">
        <f>SUMIFS(Data!$S$3:$S$137,Data!$O$3:$O$137,P$1,Data!$P$3:$P$137,P$2,Data!$K$3:$K$137,$B23)</f>
      </c>
      <c r="Q23" s="466">
        <f>SUMIFS(Data!$S$3:$S$137,Data!$O$3:$O$137,Q$1,Data!$P$3:$P$137,Q$2,Data!$K$3:$K$137,$B23)</f>
      </c>
      <c r="R23" s="466">
        <f>SUMIFS(Data!$S$3:$S$137,Data!$O$3:$O$137,R$1,Data!$P$3:$P$137,R$2,Data!$K$3:$K$137,$B23)</f>
      </c>
      <c r="S23" s="466">
        <f>SUMIFS(Data!$S$3:$S$137,Data!$O$3:$O$137,S$1,Data!$P$3:$P$137,S$2,Data!$K$3:$K$137,$B23)</f>
      </c>
      <c r="T23" s="466">
        <f>SUMIFS(Data!$S$3:$S$137,Data!$O$3:$O$137,T$1,Data!$P$3:$P$137,T$2,Data!$K$3:$K$137,$B23)</f>
      </c>
      <c r="U23" s="3"/>
      <c r="V23" s="466">
        <f>G23</f>
      </c>
      <c r="W23" s="466">
        <f>$G23</f>
      </c>
      <c r="X23" s="466">
        <f>$G23</f>
      </c>
      <c r="Y23" s="466">
        <f>$G23</f>
      </c>
      <c r="Z23" s="466">
        <f>$G23</f>
      </c>
      <c r="AA23" s="466">
        <f>$G23</f>
      </c>
      <c r="AB23" s="466">
        <f>$G23</f>
      </c>
      <c r="AC23" s="466">
        <f>$G23</f>
      </c>
      <c r="AD23" s="466">
        <f>$G23</f>
      </c>
      <c r="AE23" s="466"/>
      <c r="AF23" s="466">
        <f>IFERROR(1/AF$3,1)*SUMIFS(Data!$S$3:$S$137,Data!$O$3:$O$137,AF$1,Data!$P$3:$P$137,IF(RIGHT(AF$2,3)="YTD","&lt;="&amp;LEFT(AF$2,2)*1,AF$2),Data!$K$3:$K$137,$B23)</f>
      </c>
      <c r="AG23" s="466">
        <f>AK23/12*LEFT(AG$2,2)*1</f>
      </c>
      <c r="AH23" s="467">
        <f>AF23-AG23</f>
      </c>
      <c r="AI23" s="3"/>
      <c r="AJ23" s="466">
        <v>851592</v>
      </c>
      <c r="AK23" s="466">
        <v>0</v>
      </c>
      <c r="AL23" s="3"/>
      <c r="AM23" s="3"/>
      <c r="AN23" s="3"/>
      <c r="AO23" s="3"/>
      <c r="AP23" s="3"/>
      <c r="AQ23" s="3"/>
      <c r="AR23" s="3"/>
      <c r="AS23" s="3"/>
    </row>
    <row x14ac:dyDescent="0.25" r="24" customHeight="1" ht="19.5" hidden="1">
      <c r="A24" s="3"/>
      <c r="B24" s="33" t="s">
        <v>551</v>
      </c>
      <c r="C24" s="195" t="s">
        <v>535</v>
      </c>
      <c r="D24" s="3"/>
      <c r="E24" s="466">
        <f>$AJ24/E$3</f>
      </c>
      <c r="F24" s="466">
        <f>IFERROR(1/F$3,1)*SUMIFS(Data!$S$3:$S$137,Data!$O$3:$O$137,F$1,Data!$P$3:$P$137,IF(RIGHT(F$2,3)="YTD","&lt;="&amp;LEFT(F$2,2)*1,F$2),Data!$K$3:$K$137,$B24)</f>
      </c>
      <c r="G24" s="466">
        <f>AK24/12</f>
      </c>
      <c r="H24" s="3"/>
      <c r="I24" s="466">
        <f>IFERROR(1/I$3,1)*SUMIFS(Data!$S$3:$S$137,Data!$O$3:$O$137,I$1,Data!$P$3:$P$137,IF(RIGHT(I$2,3)="YTD","&lt;="&amp;LEFT(I$2,2)*1,I$2),Data!$K$3:$K$137,$B24)</f>
      </c>
      <c r="J24" s="466">
        <f>IFERROR(1/J$3,1)*SUMIFS(Data!$S$3:$S$137,Data!$O$3:$O$137,J$1,Data!$P$3:$P$137,IF(RIGHT(J$2,3)="YTD","&lt;="&amp;LEFT(J$2,2)*1,J$2),Data!$K$3:$K$137,$B24)</f>
      </c>
      <c r="K24" s="466">
        <f>IFERROR(1/K$3,1)*SUMIFS(Data!$S$3:$S$137,Data!$O$3:$O$137,K$1,Data!$P$3:$P$137,IF(RIGHT(K$2,3)="YTD","&lt;="&amp;LEFT(K$2,2)*1,K$2),Data!$K$3:$K$137,$B24)</f>
      </c>
      <c r="L24" s="466">
        <f>IFERROR(1/L$3,1)*SUMIFS(Data!$S$3:$S$137,Data!$O$3:$O$137,L$1,Data!$P$3:$P$137,IF(RIGHT(L$2,3)="YTD","&lt;="&amp;LEFT(L$2,2)*1,L$2),Data!$K$3:$K$137,$B24)</f>
      </c>
      <c r="M24" s="466">
        <f>IFERROR(1/M$3,1)*SUMIFS(Data!$S$3:$S$137,Data!$O$3:$O$137,M$1,Data!$P$3:$P$137,IF(RIGHT(M$2,3)="YTD","&lt;="&amp;LEFT(M$2,2)*1,M$2),Data!$K$3:$K$137,$B24)</f>
      </c>
      <c r="N24" s="466">
        <f>SUMIFS(Data!$S$3:$S$137,Data!$O$3:$O$137,N$1,Data!$P$3:$P$137,N$2,Data!$K$3:$K$137,$B24)</f>
      </c>
      <c r="O24" s="466">
        <f>SUMIFS(Data!$S$3:$S$137,Data!$O$3:$O$137,O$1,Data!$P$3:$P$137,O$2,Data!$K$3:$K$137,$B24)</f>
      </c>
      <c r="P24" s="466">
        <f>SUMIFS(Data!$S$3:$S$137,Data!$O$3:$O$137,P$1,Data!$P$3:$P$137,P$2,Data!$K$3:$K$137,$B24)</f>
      </c>
      <c r="Q24" s="466">
        <f>SUMIFS(Data!$S$3:$S$137,Data!$O$3:$O$137,Q$1,Data!$P$3:$P$137,Q$2,Data!$K$3:$K$137,$B24)</f>
      </c>
      <c r="R24" s="466">
        <f>SUMIFS(Data!$S$3:$S$137,Data!$O$3:$O$137,R$1,Data!$P$3:$P$137,R$2,Data!$K$3:$K$137,$B24)</f>
      </c>
      <c r="S24" s="466">
        <f>SUMIFS(Data!$S$3:$S$137,Data!$O$3:$O$137,S$1,Data!$P$3:$P$137,S$2,Data!$K$3:$K$137,$B24)</f>
      </c>
      <c r="T24" s="466">
        <f>SUMIFS(Data!$S$3:$S$137,Data!$O$3:$O$137,T$1,Data!$P$3:$P$137,T$2,Data!$K$3:$K$137,$B24)</f>
      </c>
      <c r="U24" s="3"/>
      <c r="V24" s="466">
        <f>G24</f>
      </c>
      <c r="W24" s="466">
        <f>$G24</f>
      </c>
      <c r="X24" s="466">
        <f>$G24</f>
      </c>
      <c r="Y24" s="466">
        <f>$G24</f>
      </c>
      <c r="Z24" s="466">
        <f>$G24</f>
      </c>
      <c r="AA24" s="466">
        <f>$G24</f>
      </c>
      <c r="AB24" s="466">
        <f>$G24</f>
      </c>
      <c r="AC24" s="466">
        <f>$G24</f>
      </c>
      <c r="AD24" s="466">
        <f>$G24</f>
      </c>
      <c r="AE24" s="466"/>
      <c r="AF24" s="466">
        <f>IFERROR(1/AF$3,1)*SUMIFS(Data!$S$3:$S$137,Data!$O$3:$O$137,AF$1,Data!$P$3:$P$137,IF(RIGHT(AF$2,3)="YTD","&lt;="&amp;LEFT(AF$2,2)*1,AF$2),Data!$K$3:$K$137,$B24)</f>
      </c>
      <c r="AG24" s="466">
        <f>AK24/12*LEFT(AG$2,2)*1</f>
      </c>
      <c r="AH24" s="467">
        <f>AF24-AG24</f>
      </c>
      <c r="AI24" s="3"/>
      <c r="AJ24" s="466">
        <v>2741614</v>
      </c>
      <c r="AK24" s="466">
        <v>0</v>
      </c>
      <c r="AL24" s="3"/>
      <c r="AM24" s="3"/>
      <c r="AN24" s="3"/>
      <c r="AO24" s="3"/>
      <c r="AP24" s="3"/>
      <c r="AQ24" s="3"/>
      <c r="AR24" s="3"/>
      <c r="AS24" s="3"/>
    </row>
    <row x14ac:dyDescent="0.25" r="25" customHeight="1" ht="19.5" hidden="1">
      <c r="A25" s="3"/>
      <c r="B25" s="41" t="s">
        <v>552</v>
      </c>
      <c r="C25" s="468"/>
      <c r="D25" s="3"/>
      <c r="E25" s="469"/>
      <c r="F25" s="469"/>
      <c r="G25" s="469"/>
      <c r="H25" s="3"/>
      <c r="I25" s="469">
        <f>SUM(I15:I24)</f>
      </c>
      <c r="J25" s="469">
        <f>SUM(J15:J24)</f>
      </c>
      <c r="K25" s="469">
        <f>SUM(K15:K24)</f>
      </c>
      <c r="L25" s="469">
        <f>SUM(L15:L24)</f>
      </c>
      <c r="M25" s="469">
        <f>SUM(M15:M24)</f>
      </c>
      <c r="N25" s="469">
        <f>SUM(N15:N24)</f>
      </c>
      <c r="O25" s="469">
        <f>SUM(O15:O24)</f>
      </c>
      <c r="P25" s="469">
        <f>SUM(P15:P24)</f>
      </c>
      <c r="Q25" s="469">
        <f>SUM(Q15:Q24)</f>
      </c>
      <c r="R25" s="469">
        <f>SUM(R15:R24)</f>
      </c>
      <c r="S25" s="469">
        <f>SUM(S15:S24)</f>
      </c>
      <c r="T25" s="469">
        <f>SUM(T15:T24)</f>
      </c>
      <c r="U25" s="469"/>
      <c r="V25" s="469">
        <f>SUM(V15:V24)</f>
      </c>
      <c r="W25" s="469">
        <f>SUM(W15:W24)</f>
      </c>
      <c r="X25" s="469">
        <f>SUM(X15:X24)</f>
      </c>
      <c r="Y25" s="469">
        <f>SUM(Y15:Y24)</f>
      </c>
      <c r="Z25" s="469"/>
      <c r="AA25" s="469"/>
      <c r="AB25" s="469"/>
      <c r="AC25" s="466">
        <f>$G25</f>
      </c>
      <c r="AD25" s="466">
        <f>$G25</f>
      </c>
      <c r="AE25" s="469"/>
      <c r="AF25" s="466">
        <f>SUM(AF15:AF24)</f>
      </c>
      <c r="AG25" s="466">
        <f>SUM(AG15:AG24)</f>
      </c>
      <c r="AH25" s="467">
        <f>SUM(AH15:AH24)</f>
      </c>
      <c r="AI25" s="3"/>
      <c r="AJ25" s="469">
        <f>SUM(AJ15:AJ24)</f>
      </c>
      <c r="AK25" s="469">
        <f>SUM(AK15:AK24)</f>
      </c>
      <c r="AL25" s="3"/>
      <c r="AM25" s="3"/>
      <c r="AN25" s="3"/>
      <c r="AO25" s="3"/>
      <c r="AP25" s="3"/>
      <c r="AQ25" s="3"/>
      <c r="AR25" s="3"/>
      <c r="AS25" s="3"/>
    </row>
    <row x14ac:dyDescent="0.25" r="26" customHeight="1" ht="19.5" hidden="1">
      <c r="A26" s="3"/>
      <c r="B26" s="470" t="s">
        <v>553</v>
      </c>
      <c r="C26" s="470" t="s">
        <v>535</v>
      </c>
      <c r="D26" s="3"/>
      <c r="E26" s="471">
        <f>AJ26/12*LEFT($F$2,2)</f>
      </c>
      <c r="F26" s="471">
        <f>SUM(I26:T26)/LEFT($F$2,2)</f>
      </c>
      <c r="G26" s="471">
        <f>AJ26/12</f>
      </c>
      <c r="H26" s="3"/>
      <c r="I26" s="471">
        <f>Reporting!C65</f>
      </c>
      <c r="J26" s="471">
        <f>Reporting!D65</f>
      </c>
      <c r="K26" s="471">
        <f>Reporting!E65</f>
      </c>
      <c r="L26" s="471">
        <f>Reporting!F65</f>
      </c>
      <c r="M26" s="471">
        <f>Reporting!G65</f>
      </c>
      <c r="N26" s="471">
        <f>Reporting!H65</f>
      </c>
      <c r="O26" s="471">
        <f>Reporting!I65</f>
      </c>
      <c r="P26" s="471">
        <f>Reporting!J65</f>
      </c>
      <c r="Q26" s="471">
        <f>Reporting!K65</f>
      </c>
      <c r="R26" s="471">
        <f>Reporting!L65</f>
      </c>
      <c r="S26" s="471">
        <f>Reporting!M65</f>
      </c>
      <c r="T26" s="471">
        <f>Reporting!N65</f>
      </c>
      <c r="U26" s="3"/>
      <c r="V26" s="471">
        <f>G27</f>
      </c>
      <c r="W26" s="471">
        <f>$G$26</f>
      </c>
      <c r="X26" s="471">
        <f>$G$26</f>
      </c>
      <c r="Y26" s="471">
        <f>$G$26</f>
      </c>
      <c r="Z26" s="471">
        <f>$G$26</f>
      </c>
      <c r="AA26" s="471">
        <f>$G$26</f>
      </c>
      <c r="AB26" s="471">
        <f>$G$26</f>
      </c>
      <c r="AC26" s="471">
        <f>$G$26</f>
      </c>
      <c r="AD26" s="471">
        <f>$G$26</f>
      </c>
      <c r="AE26" s="471"/>
      <c r="AF26" s="471">
        <f>SUM(I26:T26)</f>
      </c>
      <c r="AG26" s="471">
        <f>AK26/12*$C$5</f>
      </c>
      <c r="AH26" s="472">
        <f>AF26-AG26</f>
      </c>
      <c r="AI26" s="3"/>
      <c r="AJ26" s="471">
        <v>2741614</v>
      </c>
      <c r="AK26" s="490">
        <v>6630000</v>
      </c>
      <c r="AL26" s="3"/>
      <c r="AM26" s="3"/>
      <c r="AN26" s="3"/>
      <c r="AO26" s="3"/>
      <c r="AP26" s="3"/>
      <c r="AQ26" s="3"/>
      <c r="AR26" s="3"/>
      <c r="AS26" s="3"/>
    </row>
    <row x14ac:dyDescent="0.25" r="27" customHeight="1" ht="19.5" hidden="1">
      <c r="A27" s="3"/>
      <c r="B27" s="41"/>
      <c r="C27" s="41" t="s">
        <v>535</v>
      </c>
      <c r="D27" s="3"/>
      <c r="E27" s="469"/>
      <c r="F27" s="469"/>
      <c r="G27" s="469"/>
      <c r="H27" s="3"/>
      <c r="I27" s="469">
        <f>I25+I26</f>
      </c>
      <c r="J27" s="469">
        <f>J25+J26</f>
      </c>
      <c r="K27" s="469">
        <f>K25+K26</f>
      </c>
      <c r="L27" s="469">
        <f>L25+L26</f>
      </c>
      <c r="M27" s="469">
        <f>M25+M26</f>
      </c>
      <c r="N27" s="469">
        <f>N25+N26</f>
      </c>
      <c r="O27" s="469">
        <f>O25+O26</f>
      </c>
      <c r="P27" s="469">
        <f>P25+P26</f>
      </c>
      <c r="Q27" s="469">
        <f>Q25+Q26</f>
      </c>
      <c r="R27" s="469">
        <f>R25+R26</f>
      </c>
      <c r="S27" s="469">
        <f>S25+S26</f>
      </c>
      <c r="T27" s="469">
        <f>T25+T26</f>
      </c>
      <c r="U27" s="469"/>
      <c r="V27" s="469">
        <f>V25+V26</f>
      </c>
      <c r="W27" s="469">
        <f>W25+W26</f>
      </c>
      <c r="X27" s="469">
        <f>X25+X26</f>
      </c>
      <c r="Y27" s="469">
        <f>Y25+Y26</f>
      </c>
      <c r="Z27" s="473"/>
      <c r="AA27" s="473"/>
      <c r="AB27" s="473"/>
      <c r="AC27" s="473"/>
      <c r="AD27" s="473"/>
      <c r="AE27" s="473"/>
      <c r="AF27" s="469">
        <f>SUM(I27:K27)</f>
      </c>
      <c r="AG27" s="469"/>
      <c r="AH27" s="473"/>
      <c r="AI27" s="3"/>
      <c r="AJ27" s="469">
        <f>SUM(M27:O27)</f>
      </c>
      <c r="AK27" s="473"/>
      <c r="AL27" s="3"/>
      <c r="AM27" s="3"/>
      <c r="AN27" s="3"/>
      <c r="AO27" s="3"/>
      <c r="AP27" s="3"/>
      <c r="AQ27" s="3"/>
      <c r="AR27" s="3"/>
      <c r="AS27" s="3"/>
    </row>
    <row x14ac:dyDescent="0.25" r="28" customHeight="1" ht="19.5">
      <c r="A28" s="3"/>
      <c r="B28" s="41"/>
      <c r="C28" s="41"/>
      <c r="D28" s="3"/>
      <c r="E28" s="469"/>
      <c r="F28" s="469"/>
      <c r="G28" s="469"/>
      <c r="H28" s="3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469"/>
      <c r="T28" s="469"/>
      <c r="U28" s="3"/>
      <c r="V28" s="473"/>
      <c r="W28" s="473"/>
      <c r="X28" s="473"/>
      <c r="Y28" s="473"/>
      <c r="Z28" s="473"/>
      <c r="AA28" s="473"/>
      <c r="AB28" s="473"/>
      <c r="AC28" s="473"/>
      <c r="AD28" s="473"/>
      <c r="AE28" s="473"/>
      <c r="AF28" s="469"/>
      <c r="AG28" s="469"/>
      <c r="AH28" s="473"/>
      <c r="AI28" s="3"/>
      <c r="AJ28" s="469"/>
      <c r="AK28" s="473"/>
      <c r="AL28" s="3"/>
      <c r="AM28" s="3"/>
      <c r="AN28" s="3"/>
      <c r="AO28" s="3"/>
      <c r="AP28" s="3"/>
      <c r="AQ28" s="3"/>
      <c r="AR28" s="3"/>
      <c r="AS28" s="3"/>
    </row>
    <row x14ac:dyDescent="0.25" r="29" customHeight="1" ht="19.5">
      <c r="A29" s="3"/>
      <c r="B29" s="33"/>
      <c r="C29" s="3"/>
      <c r="D29" s="3"/>
      <c r="E29" s="474"/>
      <c r="F29" s="474"/>
      <c r="G29" s="475"/>
      <c r="H29" s="3"/>
      <c r="I29" s="475"/>
      <c r="J29" s="475"/>
      <c r="K29" s="475"/>
      <c r="L29" s="475"/>
      <c r="M29" s="475"/>
      <c r="N29" s="475"/>
      <c r="O29" s="475"/>
      <c r="P29" s="475"/>
      <c r="Q29" s="475"/>
      <c r="R29" s="475"/>
      <c r="S29" s="475"/>
      <c r="T29" s="475"/>
      <c r="U29" s="3"/>
      <c r="V29" s="475"/>
      <c r="W29" s="439"/>
      <c r="X29" s="439"/>
      <c r="Y29" s="439"/>
      <c r="Z29" s="439"/>
      <c r="AA29" s="439"/>
      <c r="AB29" s="439"/>
      <c r="AC29" s="439"/>
      <c r="AD29" s="439"/>
      <c r="AE29" s="466"/>
      <c r="AF29" s="439"/>
      <c r="AG29" s="439"/>
      <c r="AH29" s="476"/>
      <c r="AI29" s="3"/>
      <c r="AJ29" s="439"/>
      <c r="AK29" s="439"/>
      <c r="AL29" s="3"/>
      <c r="AM29" s="3"/>
      <c r="AN29" s="3"/>
      <c r="AO29" s="3"/>
      <c r="AP29" s="3"/>
      <c r="AQ29" s="3"/>
      <c r="AR29" s="3"/>
      <c r="AS29" s="3"/>
    </row>
    <row x14ac:dyDescent="0.25" r="30" customHeight="1" ht="19.5">
      <c r="A30" s="3"/>
      <c r="B30" s="3"/>
      <c r="C30" s="468"/>
      <c r="D30" s="3"/>
      <c r="E30" s="445" t="s">
        <v>513</v>
      </c>
      <c r="F30" s="446" t="s">
        <v>514</v>
      </c>
      <c r="G30" s="447" t="s">
        <v>575</v>
      </c>
      <c r="H30" s="3"/>
      <c r="I30" s="450" t="s">
        <v>557</v>
      </c>
      <c r="J30" s="450" t="s">
        <v>558</v>
      </c>
      <c r="K30" s="450" t="s">
        <v>559</v>
      </c>
      <c r="L30" s="450" t="s">
        <v>560</v>
      </c>
      <c r="M30" s="448" t="s">
        <v>561</v>
      </c>
      <c r="N30" s="448" t="s">
        <v>515</v>
      </c>
      <c r="O30" s="448" t="s">
        <v>516</v>
      </c>
      <c r="P30" s="448" t="s">
        <v>517</v>
      </c>
      <c r="Q30" s="448" t="s">
        <v>518</v>
      </c>
      <c r="R30" s="448" t="s">
        <v>519</v>
      </c>
      <c r="S30" s="448" t="s">
        <v>520</v>
      </c>
      <c r="T30" s="448" t="s">
        <v>521</v>
      </c>
      <c r="U30" s="3"/>
      <c r="V30" s="452" t="s">
        <v>585</v>
      </c>
      <c r="W30" s="452" t="s">
        <v>522</v>
      </c>
      <c r="X30" s="452" t="s">
        <v>523</v>
      </c>
      <c r="Y30" s="452" t="s">
        <v>524</v>
      </c>
      <c r="Z30" s="452" t="s">
        <v>525</v>
      </c>
      <c r="AA30" s="452" t="s">
        <v>526</v>
      </c>
      <c r="AB30" s="452" t="s">
        <v>519</v>
      </c>
      <c r="AC30" s="452" t="s">
        <v>520</v>
      </c>
      <c r="AD30" s="452" t="s">
        <v>521</v>
      </c>
      <c r="AE30" s="469"/>
      <c r="AF30" s="448">
        <f>AF$2&amp;" "&amp;AF$1</f>
      </c>
      <c r="AG30" s="454">
        <f>AG$2&amp;" "&amp;AG$1</f>
      </c>
      <c r="AH30" s="455">
        <f>AH$2&amp;" "&amp;AH$1</f>
      </c>
      <c r="AI30" s="3"/>
      <c r="AJ30" s="456">
        <f>AJ$2&amp;" "&amp;AJ$1</f>
      </c>
      <c r="AK30" s="454">
        <f>AK$2&amp;" "&amp;AK$1</f>
      </c>
      <c r="AL30" s="3"/>
      <c r="AM30" s="3"/>
      <c r="AN30" s="3"/>
      <c r="AO30" s="3"/>
      <c r="AP30" s="3"/>
      <c r="AQ30" s="3"/>
      <c r="AR30" s="3"/>
      <c r="AS30" s="3"/>
    </row>
    <row x14ac:dyDescent="0.25" r="31" customHeight="1" ht="19.5">
      <c r="A31" s="3"/>
      <c r="B31" s="33"/>
      <c r="C31" s="195"/>
      <c r="D31" s="3"/>
      <c r="E31" s="445" t="s">
        <v>40</v>
      </c>
      <c r="F31" s="446" t="s">
        <v>40</v>
      </c>
      <c r="G31" s="447" t="s">
        <v>441</v>
      </c>
      <c r="H31" s="3"/>
      <c r="I31" s="450" t="s">
        <v>40</v>
      </c>
      <c r="J31" s="450" t="s">
        <v>40</v>
      </c>
      <c r="K31" s="450" t="s">
        <v>40</v>
      </c>
      <c r="L31" s="450" t="s">
        <v>40</v>
      </c>
      <c r="M31" s="448" t="s">
        <v>40</v>
      </c>
      <c r="N31" s="448" t="s">
        <v>40</v>
      </c>
      <c r="O31" s="448" t="s">
        <v>40</v>
      </c>
      <c r="P31" s="448" t="s">
        <v>40</v>
      </c>
      <c r="Q31" s="448" t="s">
        <v>40</v>
      </c>
      <c r="R31" s="448" t="s">
        <v>40</v>
      </c>
      <c r="S31" s="448" t="s">
        <v>40</v>
      </c>
      <c r="T31" s="448" t="s">
        <v>40</v>
      </c>
      <c r="U31" s="3"/>
      <c r="V31" s="452" t="s">
        <v>528</v>
      </c>
      <c r="W31" s="452" t="s">
        <v>528</v>
      </c>
      <c r="X31" s="452" t="s">
        <v>528</v>
      </c>
      <c r="Y31" s="452" t="s">
        <v>528</v>
      </c>
      <c r="Z31" s="452" t="s">
        <v>528</v>
      </c>
      <c r="AA31" s="452" t="s">
        <v>528</v>
      </c>
      <c r="AB31" s="452" t="s">
        <v>528</v>
      </c>
      <c r="AC31" s="452" t="s">
        <v>528</v>
      </c>
      <c r="AD31" s="452" t="s">
        <v>528</v>
      </c>
      <c r="AE31" s="469"/>
      <c r="AF31" s="448" t="s">
        <v>529</v>
      </c>
      <c r="AG31" s="454" t="s">
        <v>530</v>
      </c>
      <c r="AH31" s="455" t="s">
        <v>531</v>
      </c>
      <c r="AI31" s="3"/>
      <c r="AJ31" s="457" t="s">
        <v>529</v>
      </c>
      <c r="AK31" s="458" t="s">
        <v>530</v>
      </c>
      <c r="AL31" s="3"/>
      <c r="AM31" s="3"/>
      <c r="AN31" s="3"/>
      <c r="AO31" s="3"/>
      <c r="AP31" s="3"/>
      <c r="AQ31" s="3"/>
      <c r="AR31" s="3"/>
      <c r="AS31" s="3"/>
    </row>
    <row x14ac:dyDescent="0.25" r="32" customHeight="1" ht="19.5">
      <c r="A32" s="3"/>
      <c r="B32" s="478" t="s">
        <v>584</v>
      </c>
      <c r="C32" s="66"/>
      <c r="D32" s="3"/>
      <c r="E32" s="460"/>
      <c r="F32" s="460"/>
      <c r="G32" s="461"/>
      <c r="H32" s="3"/>
      <c r="I32" s="461"/>
      <c r="J32" s="461"/>
      <c r="K32" s="461"/>
      <c r="L32" s="461"/>
      <c r="M32" s="461"/>
      <c r="N32" s="460"/>
      <c r="O32" s="460"/>
      <c r="P32" s="460"/>
      <c r="Q32" s="460"/>
      <c r="R32" s="460"/>
      <c r="S32" s="460"/>
      <c r="T32" s="460"/>
      <c r="U32" s="3"/>
      <c r="V32" s="489"/>
      <c r="W32" s="460"/>
      <c r="X32" s="460"/>
      <c r="Y32" s="460"/>
      <c r="Z32" s="460"/>
      <c r="AA32" s="460"/>
      <c r="AB32" s="460"/>
      <c r="AC32" s="460"/>
      <c r="AD32" s="462"/>
      <c r="AE32" s="462"/>
      <c r="AF32" s="463"/>
      <c r="AG32" s="464"/>
      <c r="AH32" s="440"/>
      <c r="AI32" s="3"/>
      <c r="AJ32" s="463"/>
      <c r="AK32" s="465"/>
      <c r="AL32" s="3"/>
      <c r="AM32" s="3"/>
      <c r="AN32" s="3"/>
      <c r="AO32" s="3"/>
      <c r="AP32" s="3"/>
      <c r="AQ32" s="3"/>
      <c r="AR32" s="3"/>
      <c r="AS32" s="3"/>
    </row>
    <row x14ac:dyDescent="0.25" r="33" customHeight="1" ht="19.5">
      <c r="A33" s="33" t="s">
        <v>305</v>
      </c>
      <c r="B33" s="33" t="s">
        <v>577</v>
      </c>
      <c r="C33" s="195" t="s">
        <v>535</v>
      </c>
      <c r="D33" s="3"/>
      <c r="E33" s="466">
        <f>$AJ33/E$3</f>
      </c>
      <c r="F33" s="466">
        <f>IFERROR(1/F$3,1)*SUMIFS(Data!$AD$3:$AD$137,Data!$Y$3:$Y$137,F$1,Data!$Z$3:$Z$137,IF(RIGHT(F$2,3)="YTD","&lt;="&amp;LEFT(F$2,2)*1,F$2),Data!$K$3:$K$137,$B33)</f>
      </c>
      <c r="G33" s="466">
        <f>AK33/12</f>
      </c>
      <c r="H33" s="476"/>
      <c r="I33" s="466">
        <f>IFERROR(1/I$3,1)*SUMIFS(tbl_DCFC[F Montant HT],tbl_DCFC[Revenue_Year],I$1,tbl_DCFC[Revenue_Month],IF(RIGHT(I$2,3)="YTD","&lt;="&amp;LEFT(I$2,2)*1,I$2),tbl_DCFC[BU_Key],$A33)</f>
      </c>
      <c r="J33" s="466">
        <f>IFERROR(1/J$3,1)*SUMIFS(tbl_DCFC[F Montant HT],tbl_DCFC[Revenue_Year],J$1,tbl_DCFC[Revenue_Month],IF(RIGHT(J$2,3)="YTD","&lt;="&amp;LEFT(J$2,2)*1,J$2),tbl_DCFC[BU_Key],$A33)</f>
      </c>
      <c r="K33" s="466">
        <f>IFERROR(1/K$3,1)*SUMIFS(tbl_DCFC[F Montant HT],tbl_DCFC[Revenue_Year],K$1,tbl_DCFC[Revenue_Month],IF(RIGHT(K$2,3)="YTD","&lt;="&amp;LEFT(K$2,2)*1,K$2),tbl_DCFC[BU_Key],$A33)</f>
      </c>
      <c r="L33" s="466">
        <f>IFERROR(1/L$3,1)*SUMIFS(tbl_DCFC[F Montant HT],tbl_DCFC[Revenue_Year],L$1,tbl_DCFC[Revenue_Month],IF(RIGHT(L$2,3)="YTD","&lt;="&amp;LEFT(L$2,2)*1,L$2),tbl_DCFC[BU_Key],$A33)</f>
      </c>
      <c r="M33" s="466">
        <f>IFERROR(1/M$3,1)*SUMIFS(tbl_DCFC[F Montant HT],tbl_DCFC[Revenue_Year],M$1,tbl_DCFC[Revenue_Month],IF(RIGHT(M$2,3)="YTD","&lt;="&amp;LEFT(M$2,2)*1,M$2),tbl_DCFC[BU_Key],$A33)</f>
      </c>
      <c r="N33" s="466">
        <f>IFERROR(1/N$3,1)*SUMIFS(tbl_DCFC[F Montant HT],tbl_DCFC[Revenue_Year],N$1,tbl_DCFC[Revenue_Month],IF(RIGHT(N$2,3)="YTD","&lt;="&amp;LEFT(N$2,2)*1,N$2),tbl_DCFC[BU_Key],$A33)</f>
      </c>
      <c r="O33" s="466">
        <f>IFERROR(1/O$3,1)*SUMIFS(tbl_DCFC[F Montant HT],tbl_DCFC[Revenue_Year],O$1,tbl_DCFC[Revenue_Month],IF(RIGHT(O$2,3)="YTD","&lt;="&amp;LEFT(O$2,2)*1,O$2),tbl_DCFC[BU_Key],$A33)</f>
      </c>
      <c r="P33" s="466">
        <f>IFERROR(1/P$3,1)*SUMIFS(tbl_DCFC[F Montant HT],tbl_DCFC[Revenue_Year],P$1,tbl_DCFC[Revenue_Month],IF(RIGHT(P$2,3)="YTD","&lt;="&amp;LEFT(P$2,2)*1,P$2),tbl_DCFC[BU_Key],$A33)</f>
      </c>
      <c r="Q33" s="466">
        <f>IFERROR(1/Q$3,1)*SUMIFS(tbl_DCFC[F Montant HT],tbl_DCFC[Revenue_Year],Q$1,tbl_DCFC[Revenue_Month],IF(RIGHT(Q$2,3)="YTD","&lt;="&amp;LEFT(Q$2,2)*1,Q$2),tbl_DCFC[BU_Key],$A33)</f>
      </c>
      <c r="R33" s="466">
        <f>IFERROR(1/R$3,1)*SUMIFS(tbl_DCFC[F Montant HT],tbl_DCFC[Revenue_Year],R$1,tbl_DCFC[Revenue_Month],IF(RIGHT(R$2,3)="YTD","&lt;="&amp;LEFT(R$2,2)*1,R$2),tbl_DCFC[BU_Key],$A33)</f>
      </c>
      <c r="S33" s="466">
        <f>IFERROR(1/S$3,1)*SUMIFS(tbl_DCFC[F Montant HT],tbl_DCFC[Revenue_Year],S$1,tbl_DCFC[Revenue_Month],IF(RIGHT(S$2,3)="YTD","&lt;="&amp;LEFT(S$2,2)*1,S$2),tbl_DCFC[BU_Key],$A33)</f>
      </c>
      <c r="T33" s="466">
        <f>IFERROR(1/T$3,1)*SUMIFS(tbl_DCFC[F Montant HT],tbl_DCFC[Revenue_Year],T$1,tbl_DCFC[Revenue_Month],IF(RIGHT(T$2,3)="YTD","&lt;="&amp;LEFT(T$2,2)*1,T$2),tbl_DCFC[BU_Key],$A33)</f>
      </c>
      <c r="U33" s="3"/>
      <c r="V33" s="466">
        <f>G33</f>
      </c>
      <c r="W33" s="466">
        <f>$G33</f>
      </c>
      <c r="X33" s="466">
        <f>$G33</f>
      </c>
      <c r="Y33" s="466">
        <f>$G33</f>
      </c>
      <c r="Z33" s="466">
        <f>$G33</f>
      </c>
      <c r="AA33" s="466">
        <f>$G33</f>
      </c>
      <c r="AB33" s="466">
        <f>$G33</f>
      </c>
      <c r="AC33" s="466">
        <f>$G33</f>
      </c>
      <c r="AD33" s="466">
        <f>$G33</f>
      </c>
      <c r="AE33" s="466"/>
      <c r="AF33" s="466">
        <f>IFERROR(1/AF$3,1)*SUMIFS(tbl_DCFC[F Montant HT],tbl_DCFC[Revenue_Year],AF$1,tbl_DCFC[Revenue_Month],IF(RIGHT(AF$2,3)="YTD","&lt;="&amp;LEFT(AF$2,2)*1,AF$2),tbl_DCFC[BU_Key],$A33)</f>
      </c>
      <c r="AG33" s="466">
        <f>AK33/12*$C$5</f>
      </c>
      <c r="AH33" s="467">
        <f>AF33-AG33</f>
      </c>
      <c r="AI33" s="3"/>
      <c r="AJ33" s="466">
        <v>689300</v>
      </c>
      <c r="AK33" s="466">
        <v>0</v>
      </c>
      <c r="AL33" s="3"/>
      <c r="AM33" s="3"/>
      <c r="AN33" s="3"/>
      <c r="AO33" s="3"/>
      <c r="AP33" s="3"/>
      <c r="AQ33" s="3"/>
      <c r="AR33" s="3"/>
      <c r="AS33" s="3"/>
    </row>
    <row x14ac:dyDescent="0.25" r="34" customHeight="1" ht="19.5">
      <c r="A34" s="3" t="s">
        <v>578</v>
      </c>
      <c r="B34" s="33" t="s">
        <v>579</v>
      </c>
      <c r="C34" s="195" t="s">
        <v>535</v>
      </c>
      <c r="D34" s="3"/>
      <c r="E34" s="466">
        <f>$AJ34/E$3</f>
      </c>
      <c r="F34" s="466">
        <f>IFERROR(1/F$3,1)*SUMIFS(Data!$S$3:$S$137,Data!$O$3:$O$137,F$1,Data!$P$3:$P$137,IF(RIGHT(F$2,3)="YTD","&lt;="&amp;LEFT(F$2,2)*1,F$2),Data!$K$3:$K$137,$B34)</f>
      </c>
      <c r="G34" s="466">
        <f>AK34/12</f>
      </c>
      <c r="H34" s="3"/>
      <c r="I34" s="466">
        <f>IFERROR(1/I$3,1)*SUMIFS(tbl_DCFC[F Montant HT],tbl_DCFC[Revenue_Year],I$1,tbl_DCFC[Revenue_Month],IF(RIGHT(I$2,3)="YTD","&lt;="&amp;LEFT(I$2,2)*1,I$2),tbl_DCFC[BU_Key],$A34)</f>
      </c>
      <c r="J34" s="466">
        <f>IFERROR(1/J$3,1)*SUMIFS(tbl_DCFC[F Montant HT],tbl_DCFC[Revenue_Year],J$1,tbl_DCFC[Revenue_Month],IF(RIGHT(J$2,3)="YTD","&lt;="&amp;LEFT(J$2,2)*1,J$2),tbl_DCFC[BU_Key],$A34)</f>
      </c>
      <c r="K34" s="466">
        <f>IFERROR(1/K$3,1)*SUMIFS(tbl_DCFC[F Montant HT],tbl_DCFC[Revenue_Year],K$1,tbl_DCFC[Revenue_Month],IF(RIGHT(K$2,3)="YTD","&lt;="&amp;LEFT(K$2,2)*1,K$2),tbl_DCFC[BU_Key],$A34)</f>
      </c>
      <c r="L34" s="466">
        <f>IFERROR(1/L$3,1)*SUMIFS(tbl_DCFC[F Montant HT],tbl_DCFC[Revenue_Year],L$1,tbl_DCFC[Revenue_Month],IF(RIGHT(L$2,3)="YTD","&lt;="&amp;LEFT(L$2,2)*1,L$2),tbl_DCFC[BU_Key],$A34)</f>
      </c>
      <c r="M34" s="466">
        <f>IFERROR(1/M$3,1)*SUMIFS(tbl_DCFC[F Montant HT],tbl_DCFC[Revenue_Year],M$1,tbl_DCFC[Revenue_Month],IF(RIGHT(M$2,3)="YTD","&lt;="&amp;LEFT(M$2,2)*1,M$2),tbl_DCFC[BU_Key],$A34)</f>
      </c>
      <c r="N34" s="466">
        <f>IFERROR(1/N$3,1)*SUMIFS(tbl_DCFC[F Montant HT],tbl_DCFC[Revenue_Year],N$1,tbl_DCFC[Revenue_Month],IF(RIGHT(N$2,3)="YTD","&lt;="&amp;LEFT(N$2,2)*1,N$2),tbl_DCFC[BU_Key],$A34)</f>
      </c>
      <c r="O34" s="466">
        <f>IFERROR(1/O$3,1)*SUMIFS(tbl_DCFC[F Montant HT],tbl_DCFC[Revenue_Year],O$1,tbl_DCFC[Revenue_Month],IF(RIGHT(O$2,3)="YTD","&lt;="&amp;LEFT(O$2,2)*1,O$2),tbl_DCFC[BU_Key],$A34)</f>
      </c>
      <c r="P34" s="466">
        <f>IFERROR(1/P$3,1)*SUMIFS(tbl_DCFC[F Montant HT],tbl_DCFC[Revenue_Year],P$1,tbl_DCFC[Revenue_Month],IF(RIGHT(P$2,3)="YTD","&lt;="&amp;LEFT(P$2,2)*1,P$2),tbl_DCFC[BU_Key],$A34)</f>
      </c>
      <c r="Q34" s="466">
        <f>IFERROR(1/Q$3,1)*SUMIFS(tbl_DCFC[F Montant HT],tbl_DCFC[Revenue_Year],Q$1,tbl_DCFC[Revenue_Month],IF(RIGHT(Q$2,3)="YTD","&lt;="&amp;LEFT(Q$2,2)*1,Q$2),tbl_DCFC[BU_Key],$A34)</f>
      </c>
      <c r="R34" s="466">
        <f>IFERROR(1/R$3,1)*SUMIFS(tbl_DCFC[F Montant HT],tbl_DCFC[Revenue_Year],R$1,tbl_DCFC[Revenue_Month],IF(RIGHT(R$2,3)="YTD","&lt;="&amp;LEFT(R$2,2)*1,R$2),tbl_DCFC[BU_Key],$A34)</f>
      </c>
      <c r="S34" s="466">
        <f>IFERROR(1/S$3,1)*SUMIFS(tbl_DCFC[F Montant HT],tbl_DCFC[Revenue_Year],S$1,tbl_DCFC[Revenue_Month],IF(RIGHT(S$2,3)="YTD","&lt;="&amp;LEFT(S$2,2)*1,S$2),tbl_DCFC[BU_Key],$A34)</f>
      </c>
      <c r="T34" s="466">
        <f>IFERROR(1/T$3,1)*SUMIFS(tbl_DCFC[F Montant HT],tbl_DCFC[Revenue_Year],T$1,tbl_DCFC[Revenue_Month],IF(RIGHT(T$2,3)="YTD","&lt;="&amp;LEFT(T$2,2)*1,T$2),tbl_DCFC[BU_Key],$A34)</f>
      </c>
      <c r="U34" s="3"/>
      <c r="V34" s="466">
        <f>G34</f>
      </c>
      <c r="W34" s="466">
        <f>$G34</f>
      </c>
      <c r="X34" s="466">
        <f>$G34</f>
      </c>
      <c r="Y34" s="466">
        <f>$G34</f>
      </c>
      <c r="Z34" s="466">
        <f>$G34</f>
      </c>
      <c r="AA34" s="466">
        <f>$G34</f>
      </c>
      <c r="AB34" s="466">
        <f>$G34</f>
      </c>
      <c r="AC34" s="466">
        <f>$G34</f>
      </c>
      <c r="AD34" s="466">
        <f>$G34</f>
      </c>
      <c r="AE34" s="466"/>
      <c r="AF34" s="466">
        <f>IFERROR(1/AF$3,1)*SUMIFS(tbl_DCFC[F Montant HT],tbl_DCFC[Revenue_Year],AF$1,tbl_DCFC[Revenue_Month],IF(RIGHT(AF$2,3)="YTD","&lt;="&amp;LEFT(AF$2,2)*1,AF$2),tbl_DCFC[BU_Key],$A34)</f>
      </c>
      <c r="AG34" s="466">
        <f>AK34/12*LEFT(AG$2,2)*1</f>
      </c>
      <c r="AH34" s="467">
        <f>AF34-AG34</f>
      </c>
      <c r="AI34" s="3"/>
      <c r="AJ34" s="466"/>
      <c r="AK34" s="466">
        <v>0</v>
      </c>
      <c r="AL34" s="3"/>
      <c r="AM34" s="3"/>
      <c r="AN34" s="3"/>
      <c r="AO34" s="3"/>
      <c r="AP34" s="3"/>
      <c r="AQ34" s="3"/>
      <c r="AR34" s="3"/>
      <c r="AS34" s="3"/>
    </row>
    <row x14ac:dyDescent="0.25" r="35" customHeight="1" ht="19.5">
      <c r="A35" s="33" t="s">
        <v>580</v>
      </c>
      <c r="B35" s="33" t="s">
        <v>581</v>
      </c>
      <c r="C35" s="195" t="s">
        <v>535</v>
      </c>
      <c r="D35" s="3"/>
      <c r="E35" s="466">
        <f>$AJ35/E$3</f>
      </c>
      <c r="F35" s="466">
        <f>IFERROR(1/F$3,1)*SUMIFS(Data!$S$3:$S$137,Data!$O$3:$O$137,F$1,Data!$P$3:$P$137,IF(RIGHT(F$2,3)="YTD","&lt;="&amp;LEFT(F$2,2)*1,F$2),Data!$K$3:$K$137,$B35)</f>
      </c>
      <c r="G35" s="466">
        <f>AK35/12</f>
      </c>
      <c r="H35" s="3"/>
      <c r="I35" s="466">
        <f>IFERROR(1/I$3,1)*SUMIFS(tbl_DCFC[F Montant HT],tbl_DCFC[Revenue_Year],I$1,tbl_DCFC[Revenue_Month],IF(RIGHT(I$2,3)="YTD","&lt;="&amp;LEFT(I$2,2)*1,I$2),tbl_DCFC[BU_Key],$A35)</f>
      </c>
      <c r="J35" s="466">
        <f>IFERROR(1/J$3,1)*SUMIFS(tbl_DCFC[F Montant HT],tbl_DCFC[Revenue_Year],J$1,tbl_DCFC[Revenue_Month],IF(RIGHT(J$2,3)="YTD","&lt;="&amp;LEFT(J$2,2)*1,J$2),tbl_DCFC[BU_Key],$A35)</f>
      </c>
      <c r="K35" s="466">
        <f>IFERROR(1/K$3,1)*SUMIFS(tbl_DCFC[F Montant HT],tbl_DCFC[Revenue_Year],K$1,tbl_DCFC[Revenue_Month],IF(RIGHT(K$2,3)="YTD","&lt;="&amp;LEFT(K$2,2)*1,K$2),tbl_DCFC[BU_Key],$A35)</f>
      </c>
      <c r="L35" s="466">
        <f>IFERROR(1/L$3,1)*SUMIFS(tbl_DCFC[F Montant HT],tbl_DCFC[Revenue_Year],L$1,tbl_DCFC[Revenue_Month],IF(RIGHT(L$2,3)="YTD","&lt;="&amp;LEFT(L$2,2)*1,L$2),tbl_DCFC[BU_Key],$A35)</f>
      </c>
      <c r="M35" s="466">
        <f>IFERROR(1/M$3,1)*SUMIFS(tbl_DCFC[F Montant HT],tbl_DCFC[Revenue_Year],M$1,tbl_DCFC[Revenue_Month],IF(RIGHT(M$2,3)="YTD","&lt;="&amp;LEFT(M$2,2)*1,M$2),tbl_DCFC[BU_Key],$A35)</f>
      </c>
      <c r="N35" s="466">
        <f>IFERROR(1/N$3,1)*SUMIFS(tbl_DCFC[F Montant HT],tbl_DCFC[Revenue_Year],N$1,tbl_DCFC[Revenue_Month],IF(RIGHT(N$2,3)="YTD","&lt;="&amp;LEFT(N$2,2)*1,N$2),tbl_DCFC[BU_Key],$A35)</f>
      </c>
      <c r="O35" s="466">
        <f>IFERROR(1/O$3,1)*SUMIFS(tbl_DCFC[F Montant HT],tbl_DCFC[Revenue_Year],O$1,tbl_DCFC[Revenue_Month],IF(RIGHT(O$2,3)="YTD","&lt;="&amp;LEFT(O$2,2)*1,O$2),tbl_DCFC[BU_Key],$A35)</f>
      </c>
      <c r="P35" s="466">
        <f>IFERROR(1/P$3,1)*SUMIFS(tbl_DCFC[F Montant HT],tbl_DCFC[Revenue_Year],P$1,tbl_DCFC[Revenue_Month],IF(RIGHT(P$2,3)="YTD","&lt;="&amp;LEFT(P$2,2)*1,P$2),tbl_DCFC[BU_Key],$A35)</f>
      </c>
      <c r="Q35" s="466">
        <f>IFERROR(1/Q$3,1)*SUMIFS(tbl_DCFC[F Montant HT],tbl_DCFC[Revenue_Year],Q$1,tbl_DCFC[Revenue_Month],IF(RIGHT(Q$2,3)="YTD","&lt;="&amp;LEFT(Q$2,2)*1,Q$2),tbl_DCFC[BU_Key],$A35)</f>
      </c>
      <c r="R35" s="466">
        <f>IFERROR(1/R$3,1)*SUMIFS(tbl_DCFC[F Montant HT],tbl_DCFC[Revenue_Year],R$1,tbl_DCFC[Revenue_Month],IF(RIGHT(R$2,3)="YTD","&lt;="&amp;LEFT(R$2,2)*1,R$2),tbl_DCFC[BU_Key],$A35)</f>
      </c>
      <c r="S35" s="466">
        <f>IFERROR(1/S$3,1)*SUMIFS(tbl_DCFC[F Montant HT],tbl_DCFC[Revenue_Year],S$1,tbl_DCFC[Revenue_Month],IF(RIGHT(S$2,3)="YTD","&lt;="&amp;LEFT(S$2,2)*1,S$2),tbl_DCFC[BU_Key],$A35)</f>
      </c>
      <c r="T35" s="466">
        <f>IFERROR(1/T$3,1)*SUMIFS(tbl_DCFC[F Montant HT],tbl_DCFC[Revenue_Year],T$1,tbl_DCFC[Revenue_Month],IF(RIGHT(T$2,3)="YTD","&lt;="&amp;LEFT(T$2,2)*1,T$2),tbl_DCFC[BU_Key],$A35)</f>
      </c>
      <c r="U35" s="3"/>
      <c r="V35" s="466">
        <f>G35</f>
      </c>
      <c r="W35" s="466">
        <f>$G35</f>
      </c>
      <c r="X35" s="466">
        <f>$G35</f>
      </c>
      <c r="Y35" s="466">
        <f>$G35</f>
      </c>
      <c r="Z35" s="466">
        <f>$G35</f>
      </c>
      <c r="AA35" s="466">
        <f>$G35</f>
      </c>
      <c r="AB35" s="466">
        <f>$G35</f>
      </c>
      <c r="AC35" s="466">
        <f>$G35</f>
      </c>
      <c r="AD35" s="466">
        <f>$G35</f>
      </c>
      <c r="AE35" s="466"/>
      <c r="AF35" s="466">
        <f>IFERROR(1/AF$3,1)*SUMIFS(tbl_DCFC[F Montant HT],tbl_DCFC[Revenue_Year],AF$1,tbl_DCFC[Revenue_Month],IF(RIGHT(AF$2,3)="YTD","&lt;="&amp;LEFT(AF$2,2)*1,AF$2),tbl_DCFC[BU_Key],$A35)</f>
      </c>
      <c r="AG35" s="466">
        <f>AK35/12*LEFT(AG$2,2)*1</f>
      </c>
      <c r="AH35" s="467">
        <f>AF35-AG35</f>
      </c>
      <c r="AI35" s="3"/>
      <c r="AJ35" s="466"/>
      <c r="AK35" s="466">
        <v>700000</v>
      </c>
      <c r="AL35" s="3"/>
      <c r="AM35" s="3"/>
      <c r="AN35" s="3"/>
      <c r="AO35" s="3"/>
      <c r="AP35" s="3"/>
      <c r="AQ35" s="3"/>
      <c r="AR35" s="3"/>
      <c r="AS35" s="3"/>
    </row>
    <row x14ac:dyDescent="0.25" r="36" customHeight="1" ht="19.5">
      <c r="A36" s="41" t="s">
        <v>582</v>
      </c>
      <c r="B36" s="33" t="s">
        <v>458</v>
      </c>
      <c r="C36" s="66"/>
      <c r="D36" s="3"/>
      <c r="E36" s="466">
        <f>$AJ36/E$3</f>
      </c>
      <c r="F36" s="466">
        <f>IFERROR(1/F$3,1)*SUMIFS(Data!$S$3:$S$137,Data!$O$3:$O$137,F$1,Data!$P$3:$P$137,IF(RIGHT(F$2,3)="YTD","&lt;="&amp;LEFT(F$2,2)*1,F$2),Data!$K$3:$K$137,$B36)</f>
      </c>
      <c r="G36" s="466">
        <f>AK36/12</f>
      </c>
      <c r="H36" s="3"/>
      <c r="I36" s="466">
        <f>IFERROR(1/I$3,1)*SUMIFS(tbl_DCFC[F Montant HT],tbl_DCFC[Revenue_Year],I$1,tbl_DCFC[Revenue_Month],IF(RIGHT(I$2,3)="YTD","&lt;="&amp;LEFT(I$2,2)*1,I$2),tbl_DCFC[BU_Key],$A36)</f>
      </c>
      <c r="J36" s="466">
        <f>IFERROR(1/J$3,1)*SUMIFS(tbl_DCFC[F Montant HT],tbl_DCFC[Revenue_Year],J$1,tbl_DCFC[Revenue_Month],IF(RIGHT(J$2,3)="YTD","&lt;="&amp;LEFT(J$2,2)*1,J$2),tbl_DCFC[BU_Key],$A36)</f>
      </c>
      <c r="K36" s="466">
        <f>IFERROR(1/K$3,1)*SUMIFS(tbl_DCFC[F Montant HT],tbl_DCFC[Revenue_Year],K$1,tbl_DCFC[Revenue_Month],IF(RIGHT(K$2,3)="YTD","&lt;="&amp;LEFT(K$2,2)*1,K$2),tbl_DCFC[BU_Key],$A36)</f>
      </c>
      <c r="L36" s="466">
        <f>IFERROR(1/L$3,1)*SUMIFS(tbl_DCFC[F Montant HT],tbl_DCFC[Revenue_Year],L$1,tbl_DCFC[Revenue_Month],IF(RIGHT(L$2,3)="YTD","&lt;="&amp;LEFT(L$2,2)*1,L$2),tbl_DCFC[BU_Key],$A36)</f>
      </c>
      <c r="M36" s="466">
        <f>IFERROR(1/M$3,1)*SUMIFS(tbl_DCFC[F Montant HT],tbl_DCFC[Revenue_Year],M$1,tbl_DCFC[Revenue_Month],IF(RIGHT(M$2,3)="YTD","&lt;="&amp;LEFT(M$2,2)*1,M$2),tbl_DCFC[BU_Key],$A36)</f>
      </c>
      <c r="N36" s="466">
        <f>IFERROR(1/N$3,1)*SUMIFS(tbl_DCFC[F Montant HT],tbl_DCFC[Revenue_Year],N$1,tbl_DCFC[Revenue_Month],IF(RIGHT(N$2,3)="YTD","&lt;="&amp;LEFT(N$2,2)*1,N$2),tbl_DCFC[BU_Key],$A36)</f>
      </c>
      <c r="O36" s="466">
        <f>IFERROR(1/O$3,1)*SUMIFS(tbl_DCFC[F Montant HT],tbl_DCFC[Revenue_Year],O$1,tbl_DCFC[Revenue_Month],IF(RIGHT(O$2,3)="YTD","&lt;="&amp;LEFT(O$2,2)*1,O$2),tbl_DCFC[BU_Key],$A36)</f>
      </c>
      <c r="P36" s="466">
        <f>IFERROR(1/P$3,1)*SUMIFS(tbl_DCFC[F Montant HT],tbl_DCFC[Revenue_Year],P$1,tbl_DCFC[Revenue_Month],IF(RIGHT(P$2,3)="YTD","&lt;="&amp;LEFT(P$2,2)*1,P$2),tbl_DCFC[BU_Key],$A36)</f>
      </c>
      <c r="Q36" s="466">
        <f>IFERROR(1/Q$3,1)*SUMIFS(tbl_DCFC[F Montant HT],tbl_DCFC[Revenue_Year],Q$1,tbl_DCFC[Revenue_Month],IF(RIGHT(Q$2,3)="YTD","&lt;="&amp;LEFT(Q$2,2)*1,Q$2),tbl_DCFC[BU_Key],$A36)</f>
      </c>
      <c r="R36" s="466">
        <f>IFERROR(1/R$3,1)*SUMIFS(tbl_DCFC[F Montant HT],tbl_DCFC[Revenue_Year],R$1,tbl_DCFC[Revenue_Month],IF(RIGHT(R$2,3)="YTD","&lt;="&amp;LEFT(R$2,2)*1,R$2),tbl_DCFC[BU_Key],$A36)</f>
      </c>
      <c r="S36" s="466">
        <f>IFERROR(1/S$3,1)*SUMIFS(tbl_DCFC[F Montant HT],tbl_DCFC[Revenue_Year],S$1,tbl_DCFC[Revenue_Month],IF(RIGHT(S$2,3)="YTD","&lt;="&amp;LEFT(S$2,2)*1,S$2),tbl_DCFC[BU_Key],$A36)</f>
      </c>
      <c r="T36" s="466">
        <f>IFERROR(1/T$3,1)*SUMIFS(tbl_DCFC[F Montant HT],tbl_DCFC[Revenue_Year],T$1,tbl_DCFC[Revenue_Month],IF(RIGHT(T$2,3)="YTD","&lt;="&amp;LEFT(T$2,2)*1,T$2),tbl_DCFC[BU_Key],$A36)</f>
      </c>
      <c r="U36" s="3"/>
      <c r="V36" s="466">
        <f>G36</f>
      </c>
      <c r="W36" s="466">
        <f>$G36</f>
      </c>
      <c r="X36" s="466">
        <f>$G36</f>
      </c>
      <c r="Y36" s="466">
        <f>$G36</f>
      </c>
      <c r="Z36" s="466">
        <f>$G36</f>
      </c>
      <c r="AA36" s="466">
        <f>$G36</f>
      </c>
      <c r="AB36" s="466">
        <f>$G36</f>
      </c>
      <c r="AC36" s="466">
        <f>$G36</f>
      </c>
      <c r="AD36" s="466">
        <f>$G36</f>
      </c>
      <c r="AE36" s="466"/>
      <c r="AF36" s="466">
        <f>IFERROR(1/AF$3,1)*SUMIFS(tbl_DCFC[F Montant HT],tbl_DCFC[Revenue_Year],AF$1,tbl_DCFC[Revenue_Month],IF(RIGHT(AF$2,3)="YTD","&lt;="&amp;LEFT(AF$2,2)*1,AF$2),tbl_DCFC[BU_Key],$A36)</f>
      </c>
      <c r="AG36" s="466">
        <f>AK36/12*LEFT(AG$2,2)*1</f>
      </c>
      <c r="AH36" s="467">
        <f>AF36-AG36</f>
      </c>
      <c r="AI36" s="3"/>
      <c r="AJ36" s="466"/>
      <c r="AK36" s="469">
        <v>0</v>
      </c>
      <c r="AL36" s="3"/>
      <c r="AM36" s="3"/>
      <c r="AN36" s="3"/>
      <c r="AO36" s="3"/>
      <c r="AP36" s="3"/>
      <c r="AQ36" s="3"/>
      <c r="AR36" s="3"/>
      <c r="AS36" s="3"/>
    </row>
    <row x14ac:dyDescent="0.25" r="37" customHeight="1" ht="19.5">
      <c r="A37" s="3"/>
      <c r="B37" s="459"/>
      <c r="C37" s="66"/>
      <c r="D37" s="3"/>
      <c r="E37" s="460"/>
      <c r="F37" s="460"/>
      <c r="G37" s="461"/>
      <c r="H37" s="3"/>
      <c r="I37" s="461"/>
      <c r="J37" s="461"/>
      <c r="K37" s="461"/>
      <c r="L37" s="461"/>
      <c r="M37" s="461"/>
      <c r="N37" s="460"/>
      <c r="O37" s="460"/>
      <c r="P37" s="460"/>
      <c r="Q37" s="460"/>
      <c r="R37" s="460"/>
      <c r="S37" s="460"/>
      <c r="T37" s="460"/>
      <c r="U37" s="3"/>
      <c r="V37" s="489"/>
      <c r="W37" s="460"/>
      <c r="X37" s="460"/>
      <c r="Y37" s="460"/>
      <c r="Z37" s="460"/>
      <c r="AA37" s="460"/>
      <c r="AB37" s="460"/>
      <c r="AC37" s="460"/>
      <c r="AD37" s="462"/>
      <c r="AE37" s="462"/>
      <c r="AF37" s="463"/>
      <c r="AG37" s="464"/>
      <c r="AH37" s="440"/>
      <c r="AI37" s="3"/>
      <c r="AJ37" s="463"/>
      <c r="AK37" s="465"/>
      <c r="AL37" s="3"/>
      <c r="AM37" s="3"/>
      <c r="AN37" s="3"/>
      <c r="AO37" s="3"/>
      <c r="AP37" s="3"/>
      <c r="AQ37" s="3"/>
      <c r="AR37" s="3"/>
      <c r="AS37" s="3"/>
    </row>
    <row x14ac:dyDescent="0.25" r="38" customHeight="1" ht="19.5" hidden="1">
      <c r="A38" s="3"/>
      <c r="B38" s="459" t="s">
        <v>446</v>
      </c>
      <c r="C38" s="468"/>
      <c r="D38" s="3"/>
      <c r="E38" s="477"/>
      <c r="F38" s="477"/>
      <c r="G38" s="477"/>
      <c r="H38" s="3"/>
      <c r="I38" s="477"/>
      <c r="J38" s="477"/>
      <c r="K38" s="477"/>
      <c r="L38" s="477"/>
      <c r="M38" s="477"/>
      <c r="N38" s="477"/>
      <c r="O38" s="477"/>
      <c r="P38" s="477"/>
      <c r="Q38" s="477"/>
      <c r="R38" s="477"/>
      <c r="S38" s="477"/>
      <c r="T38" s="477"/>
      <c r="U38" s="3"/>
      <c r="V38" s="477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  <c r="AG38" s="469"/>
      <c r="AH38" s="473"/>
      <c r="AI38" s="3"/>
      <c r="AJ38" s="469"/>
      <c r="AK38" s="469"/>
      <c r="AL38" s="3"/>
      <c r="AM38" s="3"/>
      <c r="AN38" s="3"/>
      <c r="AO38" s="3"/>
      <c r="AP38" s="3"/>
      <c r="AQ38" s="3"/>
      <c r="AR38" s="3"/>
      <c r="AS38" s="3"/>
    </row>
    <row x14ac:dyDescent="0.25" r="39" customHeight="1" ht="19.5" hidden="1">
      <c r="A39" s="33" t="s">
        <v>533</v>
      </c>
      <c r="B39" s="478" t="s">
        <v>534</v>
      </c>
      <c r="C39" s="468" t="s">
        <v>535</v>
      </c>
      <c r="D39" s="3"/>
      <c r="E39" s="466">
        <f>$AJ39/E$3</f>
      </c>
      <c r="F39" s="466">
        <f>IFERROR(1/F$3,1)*SUMIFS(Data!$AD$3:$AD$137,Data!$Y$3:$Y$137,F$1,Data!$Z$3:$Z$137,IF(RIGHT(F$2,3)="YTD","&lt;="&amp;LEFT(F$2,2)*1,F$2),Data!$K$3:$K$137,$B39)</f>
      </c>
      <c r="G39" s="466">
        <f>AK39/12</f>
      </c>
      <c r="H39" s="476"/>
      <c r="I39" s="466">
        <f>IFERROR(1/I$3,1)*SUMIFS(Data!$AD$3:$AD$137,Data!$Y$3:$Y$137,I$1,Data!$Z$3:$Z$137,IF(RIGHT(I$2,3)="YTD","&lt;="&amp;LEFT(I$2,2)*1,I$2),Data!$K$3:$K$137,$B39)</f>
      </c>
      <c r="J39" s="466">
        <f>IFERROR(1/J$3,1)*SUMIFS(Data!$AD$3:$AD$137,Data!$Y$3:$Y$137,J$1,Data!$Z$3:$Z$137,IF(RIGHT(J$2,3)="YTD","&lt;="&amp;LEFT(J$2,2)*1,J$2),Data!$K$3:$K$137,$B39)</f>
      </c>
      <c r="K39" s="466">
        <f>IFERROR(1/K$3,1)*SUMIFS(Data!$AD$3:$AD$137,Data!$Y$3:$Y$137,K$1,Data!$Z$3:$Z$137,IF(RIGHT(K$2,3)="YTD","&lt;="&amp;LEFT(K$2,2)*1,K$2),Data!$K$3:$K$137,$B39)</f>
      </c>
      <c r="L39" s="466">
        <f>IFERROR(1/L$3,1)*SUMIFS(Data!$AD$3:$AD$137,Data!$Y$3:$Y$137,L$1,Data!$Z$3:$Z$137,IF(RIGHT(L$2,3)="YTD","&lt;="&amp;LEFT(L$2,2)*1,L$2),Data!$K$3:$K$137,$B39)</f>
      </c>
      <c r="M39" s="466">
        <f>IFERROR(1/M$3,1)*SUMIFS(Data!$AD$3:$AD$137,Data!$Y$3:$Y$137,M$1,Data!$Z$3:$Z$137,IF(RIGHT(M$2,3)="YTD","&lt;="&amp;LEFT(M$2,2)*1,M$2),Data!$K$3:$K$137,$B39)</f>
      </c>
      <c r="N39" s="466">
        <f>IFERROR(1/N$3,1)*SUMIFS(Data!$AD$3:$AD$137,Data!$Y$3:$Y$137,N$1,Data!$Z$3:$Z$137,IF(RIGHT(N$2,3)="YTD","&lt;="&amp;LEFT(N$2,2)*1,N$2),Data!$K$3:$K$137,$B39)</f>
      </c>
      <c r="O39" s="466">
        <f>IFERROR(1/O$3,1)*SUMIFS(Data!$AD$3:$AD$137,Data!$Y$3:$Y$137,O$1,Data!$Z$3:$Z$137,IF(RIGHT(O$2,3)="YTD","&lt;="&amp;LEFT(O$2,2)*1,O$2),Data!$K$3:$K$137,$B39)</f>
      </c>
      <c r="P39" s="466">
        <f>IFERROR(1/P$3,1)*SUMIFS(Data!$AD$3:$AD$137,Data!$Y$3:$Y$137,P$1,Data!$Z$3:$Z$137,IF(RIGHT(P$2,3)="YTD","&lt;="&amp;LEFT(P$2,2)*1,P$2),Data!$K$3:$K$137,$B39)</f>
      </c>
      <c r="Q39" s="466">
        <f>IFERROR(1/Q$3,1)*SUMIFS(Data!$AD$3:$AD$137,Data!$Y$3:$Y$137,Q$1,Data!$Z$3:$Z$137,IF(RIGHT(Q$2,3)="YTD","&lt;="&amp;LEFT(Q$2,2)*1,Q$2),Data!$K$3:$K$137,$B39)</f>
      </c>
      <c r="R39" s="466">
        <f>IFERROR(1/R$3,1)*SUMIFS(Data!$AD$3:$AD$137,Data!$Y$3:$Y$137,R$1,Data!$Z$3:$Z$137,IF(RIGHT(R$2,3)="YTD","&lt;="&amp;LEFT(R$2,2)*1,R$2),Data!$K$3:$K$137,$B39)</f>
      </c>
      <c r="S39" s="466">
        <f>IFERROR(1/S$3,1)*SUMIFS(Data!$AD$3:$AD$137,Data!$Y$3:$Y$137,S$1,Data!$Z$3:$Z$137,IF(RIGHT(S$2,3)="YTD","&lt;="&amp;LEFT(S$2,2)*1,S$2),Data!$K$3:$K$137,$B39)</f>
      </c>
      <c r="T39" s="466">
        <f>IFERROR(1/T$3,1)*SUMIFS(Data!$AD$3:$AD$137,Data!$Y$3:$Y$137,T$1,Data!$Z$3:$Z$137,IF(RIGHT(T$2,3)="YTD","&lt;="&amp;LEFT(T$2,2)*1,T$2),Data!$K$3:$K$137,$B39)</f>
      </c>
      <c r="U39" s="3"/>
      <c r="V39" s="466">
        <f>G39</f>
      </c>
      <c r="W39" s="466">
        <f>$G39</f>
      </c>
      <c r="X39" s="466">
        <f>$G39</f>
      </c>
      <c r="Y39" s="466">
        <f>$G39</f>
      </c>
      <c r="Z39" s="466">
        <f>$G39</f>
      </c>
      <c r="AA39" s="466">
        <f>$G39</f>
      </c>
      <c r="AB39" s="466">
        <f>$G39</f>
      </c>
      <c r="AC39" s="466">
        <f>$G39</f>
      </c>
      <c r="AD39" s="466">
        <f>$G39</f>
      </c>
      <c r="AE39" s="466"/>
      <c r="AF39" s="466">
        <f>IFERROR(1/AF$3,1)*SUMIFS(Data!$AD$3:$AD$137,Data!$Y$3:$Y$137,AF$1,Data!$Z$3:$Z$137,IF(RIGHT(AF$2,3)="YTD","&lt;="&amp;LEFT(AF$2,2)*1,AF$2),Data!$K$3:$K$137,$B15)</f>
      </c>
      <c r="AG39" s="466">
        <f>AK39/12*$C$5</f>
      </c>
      <c r="AH39" s="467">
        <f>AF39-AG39</f>
      </c>
      <c r="AI39" s="3"/>
      <c r="AJ39" s="466">
        <v>689300</v>
      </c>
      <c r="AK39" s="469">
        <v>370000</v>
      </c>
      <c r="AL39" s="3"/>
      <c r="AM39" s="3"/>
      <c r="AN39" s="3"/>
      <c r="AO39" s="3"/>
      <c r="AP39" s="3"/>
      <c r="AQ39" s="3"/>
      <c r="AR39" s="3"/>
      <c r="AS39" s="3"/>
    </row>
    <row x14ac:dyDescent="0.25" r="40" customHeight="1" ht="19.5" hidden="1">
      <c r="A40" s="3" t="s">
        <v>536</v>
      </c>
      <c r="B40" s="478" t="s">
        <v>537</v>
      </c>
      <c r="C40" s="468" t="s">
        <v>535</v>
      </c>
      <c r="D40" s="3"/>
      <c r="E40" s="466">
        <f>$AJ40/E$3</f>
      </c>
      <c r="F40" s="466">
        <f>IFERROR(1/F$3,1)*SUMIFS(Data!$AD$3:$AD$137,Data!$Y$3:$Y$137,F$1,Data!$Z$3:$Z$137,IF(RIGHT(F$2,3)="YTD","&lt;="&amp;LEFT(F$2,2)*1,F$2),Data!$K$3:$K$137,$B40)</f>
      </c>
      <c r="G40" s="466">
        <f>AK40/12</f>
      </c>
      <c r="H40" s="476"/>
      <c r="I40" s="466">
        <f>IFERROR(1/I$3,1)*SUMIFS(Data!$AD$3:$AD$137,Data!$Y$3:$Y$137,I$1,Data!$Z$3:$Z$137,IF(RIGHT(I$2,3)="YTD","&lt;="&amp;LEFT(I$2,2)*1,I$2),Data!$K$3:$K$137,$B40)</f>
      </c>
      <c r="J40" s="466">
        <f>IFERROR(1/J$3,1)*SUMIFS(Data!$AD$3:$AD$137,Data!$Y$3:$Y$137,J$1,Data!$Z$3:$Z$137,IF(RIGHT(J$2,3)="YTD","&lt;="&amp;LEFT(J$2,2)*1,J$2),Data!$K$3:$K$137,$B40)</f>
      </c>
      <c r="K40" s="466">
        <f>IFERROR(1/K$3,1)*SUMIFS(Data!$AD$3:$AD$137,Data!$Y$3:$Y$137,K$1,Data!$Z$3:$Z$137,IF(RIGHT(K$2,3)="YTD","&lt;="&amp;LEFT(K$2,2)*1,K$2),Data!$K$3:$K$137,$B40)</f>
      </c>
      <c r="L40" s="466">
        <f>IFERROR(1/L$3,1)*SUMIFS(Data!$AD$3:$AD$137,Data!$Y$3:$Y$137,L$1,Data!$Z$3:$Z$137,IF(RIGHT(L$2,3)="YTD","&lt;="&amp;LEFT(L$2,2)*1,L$2),Data!$K$3:$K$137,$B40)</f>
      </c>
      <c r="M40" s="466">
        <f>IFERROR(1/M$3,1)*SUMIFS(Data!$AD$3:$AD$137,Data!$Y$3:$Y$137,M$1,Data!$Z$3:$Z$137,IF(RIGHT(M$2,3)="YTD","&lt;="&amp;LEFT(M$2,2)*1,M$2),Data!$K$3:$K$137,$B40)</f>
      </c>
      <c r="N40" s="466">
        <f>IFERROR(1/N$3,1)*SUMIFS(Data!$AD$3:$AD$137,Data!$Y$3:$Y$137,N$1,Data!$Z$3:$Z$137,IF(RIGHT(N$2,3)="YTD","&lt;="&amp;LEFT(N$2,2)*1,N$2),Data!$K$3:$K$137,$B40)</f>
      </c>
      <c r="O40" s="466">
        <f>IFERROR(1/O$3,1)*SUMIFS(Data!$AD$3:$AD$137,Data!$Y$3:$Y$137,O$1,Data!$Z$3:$Z$137,IF(RIGHT(O$2,3)="YTD","&lt;="&amp;LEFT(O$2,2)*1,O$2),Data!$K$3:$K$137,$B40)</f>
      </c>
      <c r="P40" s="466">
        <f>IFERROR(1/P$3,1)*SUMIFS(Data!$AD$3:$AD$137,Data!$Y$3:$Y$137,P$1,Data!$Z$3:$Z$137,IF(RIGHT(P$2,3)="YTD","&lt;="&amp;LEFT(P$2,2)*1,P$2),Data!$K$3:$K$137,$B40)</f>
      </c>
      <c r="Q40" s="466">
        <f>IFERROR(1/Q$3,1)*SUMIFS(Data!$AD$3:$AD$137,Data!$Y$3:$Y$137,Q$1,Data!$Z$3:$Z$137,IF(RIGHT(Q$2,3)="YTD","&lt;="&amp;LEFT(Q$2,2)*1,Q$2),Data!$K$3:$K$137,$B40)</f>
      </c>
      <c r="R40" s="466">
        <f>IFERROR(1/R$3,1)*SUMIFS(Data!$AD$3:$AD$137,Data!$Y$3:$Y$137,R$1,Data!$Z$3:$Z$137,IF(RIGHT(R$2,3)="YTD","&lt;="&amp;LEFT(R$2,2)*1,R$2),Data!$K$3:$K$137,$B40)</f>
      </c>
      <c r="S40" s="466">
        <f>IFERROR(1/S$3,1)*SUMIFS(Data!$AD$3:$AD$137,Data!$Y$3:$Y$137,S$1,Data!$Z$3:$Z$137,IF(RIGHT(S$2,3)="YTD","&lt;="&amp;LEFT(S$2,2)*1,S$2),Data!$K$3:$K$137,$B40)</f>
      </c>
      <c r="T40" s="466">
        <f>IFERROR(1/T$3,1)*SUMIFS(Data!$AD$3:$AD$137,Data!$Y$3:$Y$137,T$1,Data!$Z$3:$Z$137,IF(RIGHT(T$2,3)="YTD","&lt;="&amp;LEFT(T$2,2)*1,T$2),Data!$K$3:$K$137,$B40)</f>
      </c>
      <c r="U40" s="3"/>
      <c r="V40" s="466">
        <f>G40</f>
      </c>
      <c r="W40" s="466">
        <f>$G40</f>
      </c>
      <c r="X40" s="466">
        <f>$G40</f>
      </c>
      <c r="Y40" s="466">
        <f>$G40</f>
      </c>
      <c r="Z40" s="466">
        <f>$G40</f>
      </c>
      <c r="AA40" s="466">
        <f>$G40</f>
      </c>
      <c r="AB40" s="466">
        <f>$G40</f>
      </c>
      <c r="AC40" s="466">
        <f>$G40</f>
      </c>
      <c r="AD40" s="466">
        <f>$G40</f>
      </c>
      <c r="AE40" s="466"/>
      <c r="AF40" s="466">
        <f>IFERROR(1/AF$3,1)*SUMIFS(Data!$AD$3:$AD$137,Data!$Y$3:$Y$137,AF$1,Data!$Z$3:$Z$137,IF(RIGHT(AF$2,3)="YTD","&lt;="&amp;LEFT(AF$2,2)*1,AF$2),Data!$K$3:$K$137,$B16)</f>
      </c>
      <c r="AG40" s="466">
        <f>AK40/12*$C$5</f>
      </c>
      <c r="AH40" s="467">
        <f>AF40-AG40</f>
      </c>
      <c r="AI40" s="3"/>
      <c r="AJ40" s="466">
        <v>20096</v>
      </c>
      <c r="AK40" s="466">
        <v>0</v>
      </c>
      <c r="AL40" s="3"/>
      <c r="AM40" s="3"/>
      <c r="AN40" s="3"/>
      <c r="AO40" s="3"/>
      <c r="AP40" s="3"/>
      <c r="AQ40" s="3"/>
      <c r="AR40" s="3"/>
      <c r="AS40" s="3"/>
    </row>
    <row x14ac:dyDescent="0.25" r="41" customHeight="1" ht="19.5" hidden="1">
      <c r="A41" s="3"/>
      <c r="B41" s="478" t="s">
        <v>538</v>
      </c>
      <c r="C41" s="468" t="s">
        <v>535</v>
      </c>
      <c r="D41" s="3"/>
      <c r="E41" s="466">
        <f>$AJ41/E$3</f>
      </c>
      <c r="F41" s="466">
        <f>IFERROR(1/F$3,1)*SUMIFS(Data!$AD$3:$AD$137,Data!$Y$3:$Y$137,F$1,Data!$Z$3:$Z$137,IF(RIGHT(F$2,3)="YTD","&lt;="&amp;LEFT(F$2,2)*1,F$2),Data!$K$3:$K$137,$B41)</f>
      </c>
      <c r="G41" s="466">
        <f>AK41/12</f>
      </c>
      <c r="H41" s="476"/>
      <c r="I41" s="466">
        <f>IFERROR(1/I$3,1)*SUMIFS(Data!$AD$3:$AD$137,Data!$Y$3:$Y$137,I$1,Data!$Z$3:$Z$137,IF(RIGHT(I$2,3)="YTD","&lt;="&amp;LEFT(I$2,2)*1,I$2),Data!$K$3:$K$137,$B41)</f>
      </c>
      <c r="J41" s="466">
        <f>IFERROR(1/J$3,1)*SUMIFS(Data!$AD$3:$AD$137,Data!$Y$3:$Y$137,J$1,Data!$Z$3:$Z$137,IF(RIGHT(J$2,3)="YTD","&lt;="&amp;LEFT(J$2,2)*1,J$2),Data!$K$3:$K$137,$B41)</f>
      </c>
      <c r="K41" s="466">
        <f>IFERROR(1/K$3,1)*SUMIFS(Data!$AD$3:$AD$137,Data!$Y$3:$Y$137,K$1,Data!$Z$3:$Z$137,IF(RIGHT(K$2,3)="YTD","&lt;="&amp;LEFT(K$2,2)*1,K$2),Data!$K$3:$K$137,$B41)</f>
      </c>
      <c r="L41" s="466">
        <f>IFERROR(1/L$3,1)*SUMIFS(Data!$AD$3:$AD$137,Data!$Y$3:$Y$137,L$1,Data!$Z$3:$Z$137,IF(RIGHT(L$2,3)="YTD","&lt;="&amp;LEFT(L$2,2)*1,L$2),Data!$K$3:$K$137,$B41)</f>
      </c>
      <c r="M41" s="466">
        <f>IFERROR(1/M$3,1)*SUMIFS(Data!$AD$3:$AD$137,Data!$Y$3:$Y$137,M$1,Data!$Z$3:$Z$137,IF(RIGHT(M$2,3)="YTD","&lt;="&amp;LEFT(M$2,2)*1,M$2),Data!$K$3:$K$137,$B41)</f>
      </c>
      <c r="N41" s="466">
        <f>IFERROR(1/N$3,1)*SUMIFS(Data!$AD$3:$AD$137,Data!$Y$3:$Y$137,N$1,Data!$Z$3:$Z$137,IF(RIGHT(N$2,3)="YTD","&lt;="&amp;LEFT(N$2,2)*1,N$2),Data!$K$3:$K$137,$B41)</f>
      </c>
      <c r="O41" s="466">
        <f>IFERROR(1/O$3,1)*SUMIFS(Data!$AD$3:$AD$137,Data!$Y$3:$Y$137,O$1,Data!$Z$3:$Z$137,IF(RIGHT(O$2,3)="YTD","&lt;="&amp;LEFT(O$2,2)*1,O$2),Data!$K$3:$K$137,$B41)</f>
      </c>
      <c r="P41" s="466">
        <f>IFERROR(1/P$3,1)*SUMIFS(Data!$AD$3:$AD$137,Data!$Y$3:$Y$137,P$1,Data!$Z$3:$Z$137,IF(RIGHT(P$2,3)="YTD","&lt;="&amp;LEFT(P$2,2)*1,P$2),Data!$K$3:$K$137,$B41)</f>
      </c>
      <c r="Q41" s="466">
        <f>IFERROR(1/Q$3,1)*SUMIFS(Data!$AD$3:$AD$137,Data!$Y$3:$Y$137,Q$1,Data!$Z$3:$Z$137,IF(RIGHT(Q$2,3)="YTD","&lt;="&amp;LEFT(Q$2,2)*1,Q$2),Data!$K$3:$K$137,$B41)</f>
      </c>
      <c r="R41" s="466">
        <f>IFERROR(1/R$3,1)*SUMIFS(Data!$AD$3:$AD$137,Data!$Y$3:$Y$137,R$1,Data!$Z$3:$Z$137,IF(RIGHT(R$2,3)="YTD","&lt;="&amp;LEFT(R$2,2)*1,R$2),Data!$K$3:$K$137,$B41)</f>
      </c>
      <c r="S41" s="466">
        <f>IFERROR(1/S$3,1)*SUMIFS(Data!$AD$3:$AD$137,Data!$Y$3:$Y$137,S$1,Data!$Z$3:$Z$137,IF(RIGHT(S$2,3)="YTD","&lt;="&amp;LEFT(S$2,2)*1,S$2),Data!$K$3:$K$137,$B41)</f>
      </c>
      <c r="T41" s="466">
        <f>IFERROR(1/T$3,1)*SUMIFS(Data!$AD$3:$AD$137,Data!$Y$3:$Y$137,T$1,Data!$Z$3:$Z$137,IF(RIGHT(T$2,3)="YTD","&lt;="&amp;LEFT(T$2,2)*1,T$2),Data!$K$3:$K$137,$B41)</f>
      </c>
      <c r="U41" s="3"/>
      <c r="V41" s="466">
        <f>G41</f>
      </c>
      <c r="W41" s="466">
        <f>$G41</f>
      </c>
      <c r="X41" s="466">
        <f>$G41</f>
      </c>
      <c r="Y41" s="466">
        <f>$G41</f>
      </c>
      <c r="Z41" s="466">
        <f>$G41</f>
      </c>
      <c r="AA41" s="466">
        <f>$G41</f>
      </c>
      <c r="AB41" s="466">
        <f>$G41</f>
      </c>
      <c r="AC41" s="466">
        <f>$G41</f>
      </c>
      <c r="AD41" s="466">
        <f>$G41</f>
      </c>
      <c r="AE41" s="466"/>
      <c r="AF41" s="466">
        <f>IFERROR(1/AF$3,1)*SUMIFS(Data!$AD$3:$AD$137,Data!$Y$3:$Y$137,AF$1,Data!$Z$3:$Z$137,IF(RIGHT(AF$2,3)="YTD","&lt;="&amp;LEFT(AF$2,2)*1,AF$2),Data!$K$3:$K$137,$B17)</f>
      </c>
      <c r="AG41" s="466">
        <f>AK41/12*$C$5</f>
      </c>
      <c r="AH41" s="467">
        <f>AF41-AG41</f>
      </c>
      <c r="AI41" s="3"/>
      <c r="AJ41" s="466">
        <v>5075</v>
      </c>
      <c r="AK41" s="466">
        <v>0</v>
      </c>
      <c r="AL41" s="3"/>
      <c r="AM41" s="3"/>
      <c r="AN41" s="3"/>
      <c r="AO41" s="3"/>
      <c r="AP41" s="3"/>
      <c r="AQ41" s="3"/>
      <c r="AR41" s="3"/>
      <c r="AS41" s="3"/>
    </row>
    <row x14ac:dyDescent="0.25" r="42" customHeight="1" ht="19.5" hidden="1">
      <c r="A42" s="3" t="s">
        <v>539</v>
      </c>
      <c r="B42" s="478" t="s">
        <v>540</v>
      </c>
      <c r="C42" s="468" t="s">
        <v>535</v>
      </c>
      <c r="D42" s="3"/>
      <c r="E42" s="466">
        <f>$AJ42/E$3</f>
      </c>
      <c r="F42" s="466">
        <f>IFERROR(1/F$3,1)*SUMIFS(Data!$AD$3:$AD$137,Data!$Y$3:$Y$137,F$1,Data!$Z$3:$Z$137,IF(RIGHT(F$2,3)="YTD","&lt;="&amp;LEFT(F$2,2)*1,F$2),Data!$K$3:$K$137,$B42)</f>
      </c>
      <c r="G42" s="466">
        <f>AK42/12</f>
      </c>
      <c r="H42" s="476"/>
      <c r="I42" s="466">
        <f>IFERROR(1/I$3,1)*SUMIFS(Data!$AD$3:$AD$137,Data!$Y$3:$Y$137,I$1,Data!$Z$3:$Z$137,IF(RIGHT(I$2,3)="YTD","&lt;="&amp;LEFT(I$2,2)*1,I$2),Data!$K$3:$K$137,$B42)</f>
      </c>
      <c r="J42" s="466">
        <f>IFERROR(1/J$3,1)*SUMIFS(Data!$AD$3:$AD$137,Data!$Y$3:$Y$137,J$1,Data!$Z$3:$Z$137,IF(RIGHT(J$2,3)="YTD","&lt;="&amp;LEFT(J$2,2)*1,J$2),Data!$K$3:$K$137,$B42)</f>
      </c>
      <c r="K42" s="466">
        <f>IFERROR(1/K$3,1)*SUMIFS(Data!$AD$3:$AD$137,Data!$Y$3:$Y$137,K$1,Data!$Z$3:$Z$137,IF(RIGHT(K$2,3)="YTD","&lt;="&amp;LEFT(K$2,2)*1,K$2),Data!$K$3:$K$137,$B42)</f>
      </c>
      <c r="L42" s="466">
        <f>IFERROR(1/L$3,1)*SUMIFS(Data!$AD$3:$AD$137,Data!$Y$3:$Y$137,L$1,Data!$Z$3:$Z$137,IF(RIGHT(L$2,3)="YTD","&lt;="&amp;LEFT(L$2,2)*1,L$2),Data!$K$3:$K$137,$B42)</f>
      </c>
      <c r="M42" s="466">
        <f>IFERROR(1/M$3,1)*SUMIFS(Data!$AD$3:$AD$137,Data!$Y$3:$Y$137,M$1,Data!$Z$3:$Z$137,IF(RIGHT(M$2,3)="YTD","&lt;="&amp;LEFT(M$2,2)*1,M$2),Data!$K$3:$K$137,$B42)</f>
      </c>
      <c r="N42" s="466">
        <f>IFERROR(1/N$3,1)*SUMIFS(Data!$AD$3:$AD$137,Data!$Y$3:$Y$137,N$1,Data!$Z$3:$Z$137,IF(RIGHT(N$2,3)="YTD","&lt;="&amp;LEFT(N$2,2)*1,N$2),Data!$K$3:$K$137,$B42)</f>
      </c>
      <c r="O42" s="466">
        <f>IFERROR(1/O$3,1)*SUMIFS(Data!$AD$3:$AD$137,Data!$Y$3:$Y$137,O$1,Data!$Z$3:$Z$137,IF(RIGHT(O$2,3)="YTD","&lt;="&amp;LEFT(O$2,2)*1,O$2),Data!$K$3:$K$137,$B42)</f>
      </c>
      <c r="P42" s="466">
        <f>IFERROR(1/P$3,1)*SUMIFS(Data!$AD$3:$AD$137,Data!$Y$3:$Y$137,P$1,Data!$Z$3:$Z$137,IF(RIGHT(P$2,3)="YTD","&lt;="&amp;LEFT(P$2,2)*1,P$2),Data!$K$3:$K$137,$B42)</f>
      </c>
      <c r="Q42" s="466">
        <f>IFERROR(1/Q$3,1)*SUMIFS(Data!$AD$3:$AD$137,Data!$Y$3:$Y$137,Q$1,Data!$Z$3:$Z$137,IF(RIGHT(Q$2,3)="YTD","&lt;="&amp;LEFT(Q$2,2)*1,Q$2),Data!$K$3:$K$137,$B42)</f>
      </c>
      <c r="R42" s="466">
        <f>IFERROR(1/R$3,1)*SUMIFS(Data!$AD$3:$AD$137,Data!$Y$3:$Y$137,R$1,Data!$Z$3:$Z$137,IF(RIGHT(R$2,3)="YTD","&lt;="&amp;LEFT(R$2,2)*1,R$2),Data!$K$3:$K$137,$B42)</f>
      </c>
      <c r="S42" s="466">
        <f>IFERROR(1/S$3,1)*SUMIFS(Data!$AD$3:$AD$137,Data!$Y$3:$Y$137,S$1,Data!$Z$3:$Z$137,IF(RIGHT(S$2,3)="YTD","&lt;="&amp;LEFT(S$2,2)*1,S$2),Data!$K$3:$K$137,$B42)</f>
      </c>
      <c r="T42" s="466">
        <f>IFERROR(1/T$3,1)*SUMIFS(Data!$AD$3:$AD$137,Data!$Y$3:$Y$137,T$1,Data!$Z$3:$Z$137,IF(RIGHT(T$2,3)="YTD","&lt;="&amp;LEFT(T$2,2)*1,T$2),Data!$K$3:$K$137,$B42)</f>
      </c>
      <c r="U42" s="3"/>
      <c r="V42" s="466">
        <f>G42</f>
      </c>
      <c r="W42" s="466">
        <f>$G42</f>
      </c>
      <c r="X42" s="466">
        <f>$G42</f>
      </c>
      <c r="Y42" s="466">
        <f>$G42</f>
      </c>
      <c r="Z42" s="466">
        <f>$G42</f>
      </c>
      <c r="AA42" s="466">
        <f>$G42</f>
      </c>
      <c r="AB42" s="466">
        <f>$G42</f>
      </c>
      <c r="AC42" s="466">
        <f>$G42</f>
      </c>
      <c r="AD42" s="466">
        <f>$G42</f>
      </c>
      <c r="AE42" s="466"/>
      <c r="AF42" s="466">
        <f>IFERROR(1/AF$3,1)*SUMIFS(Data!$AD$3:$AD$137,Data!$Y$3:$Y$137,AF$1,Data!$Z$3:$Z$137,IF(RIGHT(AF$2,3)="YTD","&lt;="&amp;LEFT(AF$2,2)*1,AF$2),Data!$K$3:$K$137,$B18)</f>
      </c>
      <c r="AG42" s="466">
        <f>AK42/12*$C$5</f>
      </c>
      <c r="AH42" s="467">
        <f>AF42-AG42</f>
      </c>
      <c r="AI42" s="3"/>
      <c r="AJ42" s="466">
        <v>37742.5</v>
      </c>
      <c r="AK42" s="466">
        <v>0</v>
      </c>
      <c r="AL42" s="3"/>
      <c r="AM42" s="3"/>
      <c r="AN42" s="3"/>
      <c r="AO42" s="3"/>
      <c r="AP42" s="3"/>
      <c r="AQ42" s="3"/>
      <c r="AR42" s="3"/>
      <c r="AS42" s="3"/>
    </row>
    <row x14ac:dyDescent="0.25" r="43" customHeight="1" ht="19.5" hidden="1">
      <c r="A43" s="3" t="s">
        <v>541</v>
      </c>
      <c r="B43" s="478" t="s">
        <v>542</v>
      </c>
      <c r="C43" s="468" t="s">
        <v>535</v>
      </c>
      <c r="D43" s="3"/>
      <c r="E43" s="466">
        <f>$AJ43/E$3</f>
      </c>
      <c r="F43" s="466">
        <f>IFERROR(1/F$3,1)*SUMIFS(Data!$AD$3:$AD$137,Data!$Y$3:$Y$137,F$1,Data!$Z$3:$Z$137,IF(RIGHT(F$2,3)="YTD","&lt;="&amp;LEFT(F$2,2)*1,F$2),Data!$K$3:$K$137,$B43)</f>
      </c>
      <c r="G43" s="466">
        <f>AK43/12</f>
      </c>
      <c r="H43" s="476"/>
      <c r="I43" s="466">
        <f>IFERROR(1/I$3,1)*SUMIFS(Data!$AD$3:$AD$137,Data!$Y$3:$Y$137,I$1,Data!$Z$3:$Z$137,IF(RIGHT(I$2,3)="YTD","&lt;="&amp;LEFT(I$2,2)*1,I$2),Data!$K$3:$K$137,$B43)</f>
      </c>
      <c r="J43" s="466">
        <f>IFERROR(1/J$3,1)*SUMIFS(Data!$AD$3:$AD$137,Data!$Y$3:$Y$137,J$1,Data!$Z$3:$Z$137,IF(RIGHT(J$2,3)="YTD","&lt;="&amp;LEFT(J$2,2)*1,J$2),Data!$K$3:$K$137,$B43)</f>
      </c>
      <c r="K43" s="466">
        <f>IFERROR(1/K$3,1)*SUMIFS(Data!$AD$3:$AD$137,Data!$Y$3:$Y$137,K$1,Data!$Z$3:$Z$137,IF(RIGHT(K$2,3)="YTD","&lt;="&amp;LEFT(K$2,2)*1,K$2),Data!$K$3:$K$137,$B43)</f>
      </c>
      <c r="L43" s="466">
        <f>IFERROR(1/L$3,1)*SUMIFS(Data!$AD$3:$AD$137,Data!$Y$3:$Y$137,L$1,Data!$Z$3:$Z$137,IF(RIGHT(L$2,3)="YTD","&lt;="&amp;LEFT(L$2,2)*1,L$2),Data!$K$3:$K$137,$B43)</f>
      </c>
      <c r="M43" s="466">
        <f>IFERROR(1/M$3,1)*SUMIFS(Data!$AD$3:$AD$137,Data!$Y$3:$Y$137,M$1,Data!$Z$3:$Z$137,IF(RIGHT(M$2,3)="YTD","&lt;="&amp;LEFT(M$2,2)*1,M$2),Data!$K$3:$K$137,$B43)</f>
      </c>
      <c r="N43" s="466">
        <f>IFERROR(1/N$3,1)*SUMIFS(Data!$AD$3:$AD$137,Data!$Y$3:$Y$137,N$1,Data!$Z$3:$Z$137,IF(RIGHT(N$2,3)="YTD","&lt;="&amp;LEFT(N$2,2)*1,N$2),Data!$K$3:$K$137,$B43)</f>
      </c>
      <c r="O43" s="466">
        <f>IFERROR(1/O$3,1)*SUMIFS(Data!$AD$3:$AD$137,Data!$Y$3:$Y$137,O$1,Data!$Z$3:$Z$137,IF(RIGHT(O$2,3)="YTD","&lt;="&amp;LEFT(O$2,2)*1,O$2),Data!$K$3:$K$137,$B43)</f>
      </c>
      <c r="P43" s="466">
        <f>IFERROR(1/P$3,1)*SUMIFS(Data!$AD$3:$AD$137,Data!$Y$3:$Y$137,P$1,Data!$Z$3:$Z$137,IF(RIGHT(P$2,3)="YTD","&lt;="&amp;LEFT(P$2,2)*1,P$2),Data!$K$3:$K$137,$B43)</f>
      </c>
      <c r="Q43" s="466">
        <f>IFERROR(1/Q$3,1)*SUMIFS(Data!$AD$3:$AD$137,Data!$Y$3:$Y$137,Q$1,Data!$Z$3:$Z$137,IF(RIGHT(Q$2,3)="YTD","&lt;="&amp;LEFT(Q$2,2)*1,Q$2),Data!$K$3:$K$137,$B43)</f>
      </c>
      <c r="R43" s="466">
        <f>IFERROR(1/R$3,1)*SUMIFS(Data!$AD$3:$AD$137,Data!$Y$3:$Y$137,R$1,Data!$Z$3:$Z$137,IF(RIGHT(R$2,3)="YTD","&lt;="&amp;LEFT(R$2,2)*1,R$2),Data!$K$3:$K$137,$B43)</f>
      </c>
      <c r="S43" s="466">
        <f>IFERROR(1/S$3,1)*SUMIFS(Data!$AD$3:$AD$137,Data!$Y$3:$Y$137,S$1,Data!$Z$3:$Z$137,IF(RIGHT(S$2,3)="YTD","&lt;="&amp;LEFT(S$2,2)*1,S$2),Data!$K$3:$K$137,$B43)</f>
      </c>
      <c r="T43" s="466">
        <f>IFERROR(1/T$3,1)*SUMIFS(Data!$AD$3:$AD$137,Data!$Y$3:$Y$137,T$1,Data!$Z$3:$Z$137,IF(RIGHT(T$2,3)="YTD","&lt;="&amp;LEFT(T$2,2)*1,T$2),Data!$K$3:$K$137,$B43)</f>
      </c>
      <c r="U43" s="3"/>
      <c r="V43" s="466">
        <f>G43</f>
      </c>
      <c r="W43" s="466">
        <f>$G43</f>
      </c>
      <c r="X43" s="466">
        <f>$G43</f>
      </c>
      <c r="Y43" s="466">
        <f>$G43</f>
      </c>
      <c r="Z43" s="466">
        <f>$G43</f>
      </c>
      <c r="AA43" s="466">
        <f>$G43</f>
      </c>
      <c r="AB43" s="466">
        <f>$G43</f>
      </c>
      <c r="AC43" s="466">
        <f>$G43</f>
      </c>
      <c r="AD43" s="466">
        <f>$G43</f>
      </c>
      <c r="AE43" s="466"/>
      <c r="AF43" s="466">
        <f>IFERROR(1/AF$3,1)*SUMIFS(Data!$AD$3:$AD$137,Data!$Y$3:$Y$137,AF$1,Data!$Z$3:$Z$137,IF(RIGHT(AF$2,3)="YTD","&lt;="&amp;LEFT(AF$2,2)*1,AF$2),Data!$K$3:$K$137,$B19)</f>
      </c>
      <c r="AG43" s="466">
        <f>AK43/12*$C$5</f>
      </c>
      <c r="AH43" s="467">
        <f>AF43-AG43</f>
      </c>
      <c r="AI43" s="3"/>
      <c r="AJ43" s="466">
        <v>271320</v>
      </c>
      <c r="AK43" s="466">
        <v>0</v>
      </c>
      <c r="AL43" s="3"/>
      <c r="AM43" s="3"/>
      <c r="AN43" s="3"/>
      <c r="AO43" s="3"/>
      <c r="AP43" s="3"/>
      <c r="AQ43" s="3"/>
      <c r="AR43" s="3"/>
      <c r="AS43" s="3"/>
    </row>
    <row x14ac:dyDescent="0.25" r="44" customHeight="1" ht="19.5" hidden="1">
      <c r="A44" s="3" t="s">
        <v>543</v>
      </c>
      <c r="B44" s="478" t="s">
        <v>544</v>
      </c>
      <c r="C44" s="468" t="s">
        <v>535</v>
      </c>
      <c r="D44" s="3"/>
      <c r="E44" s="466">
        <f>$AJ44/E$3</f>
      </c>
      <c r="F44" s="466">
        <f>IFERROR(1/F$3,1)*SUMIFS(Data!$AD$3:$AD$137,Data!$Y$3:$Y$137,F$1,Data!$Z$3:$Z$137,IF(RIGHT(F$2,3)="YTD","&lt;="&amp;LEFT(F$2,2)*1,F$2),Data!$K$3:$K$137,$B44)</f>
      </c>
      <c r="G44" s="466">
        <f>AK44/12</f>
      </c>
      <c r="H44" s="476"/>
      <c r="I44" s="466">
        <f>IFERROR(1/I$3,1)*SUMIFS(Data!$AD$3:$AD$137,Data!$Y$3:$Y$137,I$1,Data!$Z$3:$Z$137,IF(RIGHT(I$2,3)="YTD","&lt;="&amp;LEFT(I$2,2)*1,I$2),Data!$K$3:$K$137,$B44)</f>
      </c>
      <c r="J44" s="466">
        <f>IFERROR(1/J$3,1)*SUMIFS(Data!$AD$3:$AD$137,Data!$Y$3:$Y$137,J$1,Data!$Z$3:$Z$137,IF(RIGHT(J$2,3)="YTD","&lt;="&amp;LEFT(J$2,2)*1,J$2),Data!$K$3:$K$137,$B44)</f>
      </c>
      <c r="K44" s="466">
        <f>IFERROR(1/K$3,1)*SUMIFS(Data!$AD$3:$AD$137,Data!$Y$3:$Y$137,K$1,Data!$Z$3:$Z$137,IF(RIGHT(K$2,3)="YTD","&lt;="&amp;LEFT(K$2,2)*1,K$2),Data!$K$3:$K$137,$B44)</f>
      </c>
      <c r="L44" s="466">
        <f>IFERROR(1/L$3,1)*SUMIFS(Data!$AD$3:$AD$137,Data!$Y$3:$Y$137,L$1,Data!$Z$3:$Z$137,IF(RIGHT(L$2,3)="YTD","&lt;="&amp;LEFT(L$2,2)*1,L$2),Data!$K$3:$K$137,$B44)</f>
      </c>
      <c r="M44" s="466">
        <f>IFERROR(1/M$3,1)*SUMIFS(Data!$AD$3:$AD$137,Data!$Y$3:$Y$137,M$1,Data!$Z$3:$Z$137,IF(RIGHT(M$2,3)="YTD","&lt;="&amp;LEFT(M$2,2)*1,M$2),Data!$K$3:$K$137,$B44)</f>
      </c>
      <c r="N44" s="466">
        <f>IFERROR(1/N$3,1)*SUMIFS(Data!$AD$3:$AD$137,Data!$Y$3:$Y$137,N$1,Data!$Z$3:$Z$137,IF(RIGHT(N$2,3)="YTD","&lt;="&amp;LEFT(N$2,2)*1,N$2),Data!$K$3:$K$137,$B44)</f>
      </c>
      <c r="O44" s="466">
        <f>IFERROR(1/O$3,1)*SUMIFS(Data!$AD$3:$AD$137,Data!$Y$3:$Y$137,O$1,Data!$Z$3:$Z$137,IF(RIGHT(O$2,3)="YTD","&lt;="&amp;LEFT(O$2,2)*1,O$2),Data!$K$3:$K$137,$B44)</f>
      </c>
      <c r="P44" s="466">
        <f>IFERROR(1/P$3,1)*SUMIFS(Data!$AD$3:$AD$137,Data!$Y$3:$Y$137,P$1,Data!$Z$3:$Z$137,IF(RIGHT(P$2,3)="YTD","&lt;="&amp;LEFT(P$2,2)*1,P$2),Data!$K$3:$K$137,$B44)</f>
      </c>
      <c r="Q44" s="466">
        <f>IFERROR(1/Q$3,1)*SUMIFS(Data!$AD$3:$AD$137,Data!$Y$3:$Y$137,Q$1,Data!$Z$3:$Z$137,IF(RIGHT(Q$2,3)="YTD","&lt;="&amp;LEFT(Q$2,2)*1,Q$2),Data!$K$3:$K$137,$B44)</f>
      </c>
      <c r="R44" s="466">
        <f>IFERROR(1/R$3,1)*SUMIFS(Data!$AD$3:$AD$137,Data!$Y$3:$Y$137,R$1,Data!$Z$3:$Z$137,IF(RIGHT(R$2,3)="YTD","&lt;="&amp;LEFT(R$2,2)*1,R$2),Data!$K$3:$K$137,$B44)</f>
      </c>
      <c r="S44" s="466">
        <f>IFERROR(1/S$3,1)*SUMIFS(Data!$AD$3:$AD$137,Data!$Y$3:$Y$137,S$1,Data!$Z$3:$Z$137,IF(RIGHT(S$2,3)="YTD","&lt;="&amp;LEFT(S$2,2)*1,S$2),Data!$K$3:$K$137,$B44)</f>
      </c>
      <c r="T44" s="466">
        <f>IFERROR(1/T$3,1)*SUMIFS(Data!$AD$3:$AD$137,Data!$Y$3:$Y$137,T$1,Data!$Z$3:$Z$137,IF(RIGHT(T$2,3)="YTD","&lt;="&amp;LEFT(T$2,2)*1,T$2),Data!$K$3:$K$137,$B44)</f>
      </c>
      <c r="U44" s="3"/>
      <c r="V44" s="466">
        <f>G44</f>
      </c>
      <c r="W44" s="466">
        <f>$G44</f>
      </c>
      <c r="X44" s="466">
        <f>$G44</f>
      </c>
      <c r="Y44" s="466">
        <f>$G44</f>
      </c>
      <c r="Z44" s="466">
        <f>$G44</f>
      </c>
      <c r="AA44" s="466">
        <f>$G44</f>
      </c>
      <c r="AB44" s="466">
        <f>$G44</f>
      </c>
      <c r="AC44" s="466">
        <f>$G44</f>
      </c>
      <c r="AD44" s="466">
        <f>$G44</f>
      </c>
      <c r="AE44" s="466"/>
      <c r="AF44" s="466">
        <f>IFERROR(1/AF$3,1)*SUMIFS(Data!$AD$3:$AD$137,Data!$Y$3:$Y$137,AF$1,Data!$Z$3:$Z$137,IF(RIGHT(AF$2,3)="YTD","&lt;="&amp;LEFT(AF$2,2)*1,AF$2),Data!$K$3:$K$137,$B20)</f>
      </c>
      <c r="AG44" s="466">
        <f>AK44/12*$C$5</f>
      </c>
      <c r="AH44" s="467">
        <f>AF44-AG44</f>
      </c>
      <c r="AI44" s="3"/>
      <c r="AJ44" s="466">
        <v>45130</v>
      </c>
      <c r="AK44" s="469">
        <v>250000</v>
      </c>
      <c r="AL44" s="3"/>
      <c r="AM44" s="3"/>
      <c r="AN44" s="3"/>
      <c r="AO44" s="3"/>
      <c r="AP44" s="3"/>
      <c r="AQ44" s="3"/>
      <c r="AR44" s="3"/>
      <c r="AS44" s="3"/>
    </row>
    <row x14ac:dyDescent="0.25" r="45" customHeight="1" ht="19.5" hidden="1">
      <c r="A45" s="33" t="s">
        <v>545</v>
      </c>
      <c r="B45" s="478" t="s">
        <v>546</v>
      </c>
      <c r="C45" s="468" t="s">
        <v>535</v>
      </c>
      <c r="D45" s="3"/>
      <c r="E45" s="466">
        <f>$AJ45/E$3</f>
      </c>
      <c r="F45" s="466">
        <f>IFERROR(1/F$3,1)*SUMIFS(Data!$AD$3:$AD$137,Data!$Y$3:$Y$137,F$1,Data!$Z$3:$Z$137,IF(RIGHT(F$2,3)="YTD","&lt;="&amp;LEFT(F$2,2)*1,F$2),Data!$K$3:$K$137,$B45)</f>
      </c>
      <c r="G45" s="466">
        <f>AK45/12</f>
      </c>
      <c r="H45" s="476"/>
      <c r="I45" s="466">
        <f>IFERROR(1/I$3,1)*SUMIFS(Data!$AD$3:$AD$137,Data!$Y$3:$Y$137,I$1,Data!$Z$3:$Z$137,IF(RIGHT(I$2,3)="YTD","&lt;="&amp;LEFT(I$2,2)*1,I$2),Data!$K$3:$K$137,$B45)</f>
      </c>
      <c r="J45" s="466">
        <f>IFERROR(1/J$3,1)*SUMIFS(Data!$AD$3:$AD$137,Data!$Y$3:$Y$137,J$1,Data!$Z$3:$Z$137,IF(RIGHT(J$2,3)="YTD","&lt;="&amp;LEFT(J$2,2)*1,J$2),Data!$K$3:$K$137,$B45)</f>
      </c>
      <c r="K45" s="466">
        <f>IFERROR(1/K$3,1)*SUMIFS(Data!$AD$3:$AD$137,Data!$Y$3:$Y$137,K$1,Data!$Z$3:$Z$137,IF(RIGHT(K$2,3)="YTD","&lt;="&amp;LEFT(K$2,2)*1,K$2),Data!$K$3:$K$137,$B45)</f>
      </c>
      <c r="L45" s="466">
        <f>IFERROR(1/L$3,1)*SUMIFS(Data!$AD$3:$AD$137,Data!$Y$3:$Y$137,L$1,Data!$Z$3:$Z$137,IF(RIGHT(L$2,3)="YTD","&lt;="&amp;LEFT(L$2,2)*1,L$2),Data!$K$3:$K$137,$B45)</f>
      </c>
      <c r="M45" s="466">
        <f>IFERROR(1/M$3,1)*SUMIFS(Data!$AD$3:$AD$137,Data!$Y$3:$Y$137,M$1,Data!$Z$3:$Z$137,IF(RIGHT(M$2,3)="YTD","&lt;="&amp;LEFT(M$2,2)*1,M$2),Data!$K$3:$K$137,$B45)</f>
      </c>
      <c r="N45" s="466">
        <f>IFERROR(1/N$3,1)*SUMIFS(Data!$AD$3:$AD$137,Data!$Y$3:$Y$137,N$1,Data!$Z$3:$Z$137,IF(RIGHT(N$2,3)="YTD","&lt;="&amp;LEFT(N$2,2)*1,N$2),Data!$K$3:$K$137,$B45)</f>
      </c>
      <c r="O45" s="466">
        <f>IFERROR(1/O$3,1)*SUMIFS(Data!$AD$3:$AD$137,Data!$Y$3:$Y$137,O$1,Data!$Z$3:$Z$137,IF(RIGHT(O$2,3)="YTD","&lt;="&amp;LEFT(O$2,2)*1,O$2),Data!$K$3:$K$137,$B45)</f>
      </c>
      <c r="P45" s="466">
        <f>IFERROR(1/P$3,1)*SUMIFS(Data!$AD$3:$AD$137,Data!$Y$3:$Y$137,P$1,Data!$Z$3:$Z$137,IF(RIGHT(P$2,3)="YTD","&lt;="&amp;LEFT(P$2,2)*1,P$2),Data!$K$3:$K$137,$B45)</f>
      </c>
      <c r="Q45" s="466">
        <f>IFERROR(1/Q$3,1)*SUMIFS(Data!$AD$3:$AD$137,Data!$Y$3:$Y$137,Q$1,Data!$Z$3:$Z$137,IF(RIGHT(Q$2,3)="YTD","&lt;="&amp;LEFT(Q$2,2)*1,Q$2),Data!$K$3:$K$137,$B45)</f>
      </c>
      <c r="R45" s="466">
        <f>IFERROR(1/R$3,1)*SUMIFS(Data!$AD$3:$AD$137,Data!$Y$3:$Y$137,R$1,Data!$Z$3:$Z$137,IF(RIGHT(R$2,3)="YTD","&lt;="&amp;LEFT(R$2,2)*1,R$2),Data!$K$3:$K$137,$B45)</f>
      </c>
      <c r="S45" s="466">
        <f>IFERROR(1/S$3,1)*SUMIFS(Data!$AD$3:$AD$137,Data!$Y$3:$Y$137,S$1,Data!$Z$3:$Z$137,IF(RIGHT(S$2,3)="YTD","&lt;="&amp;LEFT(S$2,2)*1,S$2),Data!$K$3:$K$137,$B45)</f>
      </c>
      <c r="T45" s="466">
        <f>IFERROR(1/T$3,1)*SUMIFS(Data!$AD$3:$AD$137,Data!$Y$3:$Y$137,T$1,Data!$Z$3:$Z$137,IF(RIGHT(T$2,3)="YTD","&lt;="&amp;LEFT(T$2,2)*1,T$2),Data!$K$3:$K$137,$B45)</f>
      </c>
      <c r="U45" s="3"/>
      <c r="V45" s="466">
        <f>G45</f>
      </c>
      <c r="W45" s="466">
        <f>$G45</f>
      </c>
      <c r="X45" s="466">
        <f>$G45</f>
      </c>
      <c r="Y45" s="466">
        <f>$G45</f>
      </c>
      <c r="Z45" s="466">
        <f>$G45</f>
      </c>
      <c r="AA45" s="466">
        <f>$G45</f>
      </c>
      <c r="AB45" s="466">
        <f>$G45</f>
      </c>
      <c r="AC45" s="466">
        <f>$G45</f>
      </c>
      <c r="AD45" s="466">
        <f>$G45</f>
      </c>
      <c r="AE45" s="466"/>
      <c r="AF45" s="466">
        <f>IFERROR(1/AF$3,1)*SUMIFS(Data!$AD$3:$AD$137,Data!$Y$3:$Y$137,AF$1,Data!$Z$3:$Z$137,IF(RIGHT(AF$2,3)="YTD","&lt;="&amp;LEFT(AF$2,2)*1,AF$2),Data!$K$3:$K$137,$B21)</f>
      </c>
      <c r="AG45" s="466">
        <f>AK45/12*$C$5</f>
      </c>
      <c r="AH45" s="467">
        <f>AF45-AG45</f>
      </c>
      <c r="AI45" s="3"/>
      <c r="AJ45" s="466">
        <v>127114</v>
      </c>
      <c r="AK45" s="469">
        <v>45000</v>
      </c>
      <c r="AL45" s="3"/>
      <c r="AM45" s="3"/>
      <c r="AN45" s="3"/>
      <c r="AO45" s="3"/>
      <c r="AP45" s="3"/>
      <c r="AQ45" s="3"/>
      <c r="AR45" s="3"/>
      <c r="AS45" s="3"/>
    </row>
    <row x14ac:dyDescent="0.25" r="46" customHeight="1" ht="19.5" hidden="1">
      <c r="A46" s="33" t="s">
        <v>547</v>
      </c>
      <c r="B46" s="478" t="s">
        <v>548</v>
      </c>
      <c r="C46" s="468" t="s">
        <v>535</v>
      </c>
      <c r="D46" s="3"/>
      <c r="E46" s="466">
        <f>$AJ46/E$3</f>
      </c>
      <c r="F46" s="466">
        <f>IFERROR(1/F$3,1)*SUMIFS(Data!$AD$3:$AD$137,Data!$Y$3:$Y$137,F$1,Data!$Z$3:$Z$137,IF(RIGHT(F$2,3)="YTD","&lt;="&amp;LEFT(F$2,2)*1,F$2),Data!$K$3:$K$137,$B46)</f>
      </c>
      <c r="G46" s="466">
        <f>AK46/12</f>
      </c>
      <c r="H46" s="476"/>
      <c r="I46" s="466">
        <f>IFERROR(1/I$3,1)*SUMIFS(Data!$AD$3:$AD$137,Data!$Y$3:$Y$137,I$1,Data!$Z$3:$Z$137,IF(RIGHT(I$2,3)="YTD","&lt;="&amp;LEFT(I$2,2)*1,I$2),Data!$K$3:$K$137,$B46)</f>
      </c>
      <c r="J46" s="466">
        <f>IFERROR(1/J$3,1)*SUMIFS(Data!$AD$3:$AD$137,Data!$Y$3:$Y$137,J$1,Data!$Z$3:$Z$137,IF(RIGHT(J$2,3)="YTD","&lt;="&amp;LEFT(J$2,2)*1,J$2),Data!$K$3:$K$137,$B46)</f>
      </c>
      <c r="K46" s="466">
        <f>IFERROR(1/K$3,1)*SUMIFS(Data!$AD$3:$AD$137,Data!$Y$3:$Y$137,K$1,Data!$Z$3:$Z$137,IF(RIGHT(K$2,3)="YTD","&lt;="&amp;LEFT(K$2,2)*1,K$2),Data!$K$3:$K$137,$B46)</f>
      </c>
      <c r="L46" s="466">
        <f>IFERROR(1/L$3,1)*SUMIFS(Data!$AD$3:$AD$137,Data!$Y$3:$Y$137,L$1,Data!$Z$3:$Z$137,IF(RIGHT(L$2,3)="YTD","&lt;="&amp;LEFT(L$2,2)*1,L$2),Data!$K$3:$K$137,$B46)</f>
      </c>
      <c r="M46" s="466">
        <f>IFERROR(1/M$3,1)*SUMIFS(Data!$AD$3:$AD$137,Data!$Y$3:$Y$137,M$1,Data!$Z$3:$Z$137,IF(RIGHT(M$2,3)="YTD","&lt;="&amp;LEFT(M$2,2)*1,M$2),Data!$K$3:$K$137,$B46)</f>
      </c>
      <c r="N46" s="466">
        <f>IFERROR(1/N$3,1)*SUMIFS(Data!$AD$3:$AD$137,Data!$Y$3:$Y$137,N$1,Data!$Z$3:$Z$137,IF(RIGHT(N$2,3)="YTD","&lt;="&amp;LEFT(N$2,2)*1,N$2),Data!$K$3:$K$137,$B46)</f>
      </c>
      <c r="O46" s="466">
        <f>IFERROR(1/O$3,1)*SUMIFS(Data!$AD$3:$AD$137,Data!$Y$3:$Y$137,O$1,Data!$Z$3:$Z$137,IF(RIGHT(O$2,3)="YTD","&lt;="&amp;LEFT(O$2,2)*1,O$2),Data!$K$3:$K$137,$B46)</f>
      </c>
      <c r="P46" s="466">
        <f>IFERROR(1/P$3,1)*SUMIFS(Data!$AD$3:$AD$137,Data!$Y$3:$Y$137,P$1,Data!$Z$3:$Z$137,IF(RIGHT(P$2,3)="YTD","&lt;="&amp;LEFT(P$2,2)*1,P$2),Data!$K$3:$K$137,$B46)</f>
      </c>
      <c r="Q46" s="466">
        <f>IFERROR(1/Q$3,1)*SUMIFS(Data!$AD$3:$AD$137,Data!$Y$3:$Y$137,Q$1,Data!$Z$3:$Z$137,IF(RIGHT(Q$2,3)="YTD","&lt;="&amp;LEFT(Q$2,2)*1,Q$2),Data!$K$3:$K$137,$B46)</f>
      </c>
      <c r="R46" s="466">
        <f>IFERROR(1/R$3,1)*SUMIFS(Data!$AD$3:$AD$137,Data!$Y$3:$Y$137,R$1,Data!$Z$3:$Z$137,IF(RIGHT(R$2,3)="YTD","&lt;="&amp;LEFT(R$2,2)*1,R$2),Data!$K$3:$K$137,$B46)</f>
      </c>
      <c r="S46" s="466">
        <f>IFERROR(1/S$3,1)*SUMIFS(Data!$AD$3:$AD$137,Data!$Y$3:$Y$137,S$1,Data!$Z$3:$Z$137,IF(RIGHT(S$2,3)="YTD","&lt;="&amp;LEFT(S$2,2)*1,S$2),Data!$K$3:$K$137,$B46)</f>
      </c>
      <c r="T46" s="466">
        <f>IFERROR(1/T$3,1)*SUMIFS(Data!$AD$3:$AD$137,Data!$Y$3:$Y$137,T$1,Data!$Z$3:$Z$137,IF(RIGHT(T$2,3)="YTD","&lt;="&amp;LEFT(T$2,2)*1,T$2),Data!$K$3:$K$137,$B46)</f>
      </c>
      <c r="U46" s="3"/>
      <c r="V46" s="466">
        <f>G46</f>
      </c>
      <c r="W46" s="466">
        <f>$G46</f>
      </c>
      <c r="X46" s="466">
        <f>$G46</f>
      </c>
      <c r="Y46" s="466">
        <f>$G46</f>
      </c>
      <c r="Z46" s="466">
        <f>$G46</f>
      </c>
      <c r="AA46" s="466">
        <f>$G46</f>
      </c>
      <c r="AB46" s="466">
        <f>$G46</f>
      </c>
      <c r="AC46" s="466">
        <f>$G46</f>
      </c>
      <c r="AD46" s="466">
        <f>$G46</f>
      </c>
      <c r="AE46" s="466"/>
      <c r="AF46" s="466">
        <f>IFERROR(1/AF$3,1)*SUMIFS(Data!$AD$3:$AD$137,Data!$Y$3:$Y$137,AF$1,Data!$Z$3:$Z$137,IF(RIGHT(AF$2,3)="YTD","&lt;="&amp;LEFT(AF$2,2)*1,AF$2),Data!$K$3:$K$137,$B22)</f>
      </c>
      <c r="AG46" s="466">
        <f>AK46/12*$C$5</f>
      </c>
      <c r="AH46" s="467">
        <f>AF46-AG46</f>
      </c>
      <c r="AI46" s="3"/>
      <c r="AJ46" s="466">
        <v>130576</v>
      </c>
      <c r="AK46" s="469">
        <v>250000</v>
      </c>
      <c r="AL46" s="3"/>
      <c r="AM46" s="3"/>
      <c r="AN46" s="3"/>
      <c r="AO46" s="3"/>
      <c r="AP46" s="3"/>
      <c r="AQ46" s="3"/>
      <c r="AR46" s="3"/>
      <c r="AS46" s="3"/>
    </row>
    <row x14ac:dyDescent="0.25" r="47" customHeight="1" ht="19.5" hidden="1">
      <c r="A47" s="3" t="s">
        <v>549</v>
      </c>
      <c r="B47" s="478" t="s">
        <v>550</v>
      </c>
      <c r="C47" s="468" t="s">
        <v>535</v>
      </c>
      <c r="D47" s="3"/>
      <c r="E47" s="466">
        <f>$AJ47/E$3</f>
      </c>
      <c r="F47" s="466">
        <f>IFERROR(1/F$3,1)*SUMIFS(Data!$AD$3:$AD$137,Data!$Y$3:$Y$137,F$1,Data!$Z$3:$Z$137,IF(RIGHT(F$2,3)="YTD","&lt;="&amp;LEFT(F$2,2)*1,F$2),Data!$K$3:$K$137,$B47)</f>
      </c>
      <c r="G47" s="466">
        <f>AK47/12</f>
      </c>
      <c r="H47" s="476"/>
      <c r="I47" s="466">
        <f>IFERROR(1/I$3,1)*SUMIFS(Data!$AD$3:$AD$137,Data!$Y$3:$Y$137,I$1,Data!$Z$3:$Z$137,IF(RIGHT(I$2,3)="YTD","&lt;="&amp;LEFT(I$2,2)*1,I$2),Data!$K$3:$K$137,$B47)</f>
      </c>
      <c r="J47" s="466">
        <f>IFERROR(1/J$3,1)*SUMIFS(Data!$AD$3:$AD$137,Data!$Y$3:$Y$137,J$1,Data!$Z$3:$Z$137,IF(RIGHT(J$2,3)="YTD","&lt;="&amp;LEFT(J$2,2)*1,J$2),Data!$K$3:$K$137,$B47)</f>
      </c>
      <c r="K47" s="466">
        <f>IFERROR(1/K$3,1)*SUMIFS(Data!$AD$3:$AD$137,Data!$Y$3:$Y$137,K$1,Data!$Z$3:$Z$137,IF(RIGHT(K$2,3)="YTD","&lt;="&amp;LEFT(K$2,2)*1,K$2),Data!$K$3:$K$137,$B47)</f>
      </c>
      <c r="L47" s="466">
        <f>IFERROR(1/L$3,1)*SUMIFS(Data!$AD$3:$AD$137,Data!$Y$3:$Y$137,L$1,Data!$Z$3:$Z$137,IF(RIGHT(L$2,3)="YTD","&lt;="&amp;LEFT(L$2,2)*1,L$2),Data!$K$3:$K$137,$B47)</f>
      </c>
      <c r="M47" s="466">
        <f>IFERROR(1/M$3,1)*SUMIFS(Data!$AD$3:$AD$137,Data!$Y$3:$Y$137,M$1,Data!$Z$3:$Z$137,IF(RIGHT(M$2,3)="YTD","&lt;="&amp;LEFT(M$2,2)*1,M$2),Data!$K$3:$K$137,$B47)</f>
      </c>
      <c r="N47" s="466">
        <f>IFERROR(1/N$3,1)*SUMIFS(Data!$AD$3:$AD$137,Data!$Y$3:$Y$137,N$1,Data!$Z$3:$Z$137,IF(RIGHT(N$2,3)="YTD","&lt;="&amp;LEFT(N$2,2)*1,N$2),Data!$K$3:$K$137,$B47)</f>
      </c>
      <c r="O47" s="466">
        <f>IFERROR(1/O$3,1)*SUMIFS(Data!$AD$3:$AD$137,Data!$Y$3:$Y$137,O$1,Data!$Z$3:$Z$137,IF(RIGHT(O$2,3)="YTD","&lt;="&amp;LEFT(O$2,2)*1,O$2),Data!$K$3:$K$137,$B47)</f>
      </c>
      <c r="P47" s="466">
        <f>IFERROR(1/P$3,1)*SUMIFS(Data!$AD$3:$AD$137,Data!$Y$3:$Y$137,P$1,Data!$Z$3:$Z$137,IF(RIGHT(P$2,3)="YTD","&lt;="&amp;LEFT(P$2,2)*1,P$2),Data!$K$3:$K$137,$B47)</f>
      </c>
      <c r="Q47" s="466">
        <f>IFERROR(1/Q$3,1)*SUMIFS(Data!$AD$3:$AD$137,Data!$Y$3:$Y$137,Q$1,Data!$Z$3:$Z$137,IF(RIGHT(Q$2,3)="YTD","&lt;="&amp;LEFT(Q$2,2)*1,Q$2),Data!$K$3:$K$137,$B47)</f>
      </c>
      <c r="R47" s="466">
        <f>IFERROR(1/R$3,1)*SUMIFS(Data!$AD$3:$AD$137,Data!$Y$3:$Y$137,R$1,Data!$Z$3:$Z$137,IF(RIGHT(R$2,3)="YTD","&lt;="&amp;LEFT(R$2,2)*1,R$2),Data!$K$3:$K$137,$B47)</f>
      </c>
      <c r="S47" s="466">
        <f>IFERROR(1/S$3,1)*SUMIFS(Data!$AD$3:$AD$137,Data!$Y$3:$Y$137,S$1,Data!$Z$3:$Z$137,IF(RIGHT(S$2,3)="YTD","&lt;="&amp;LEFT(S$2,2)*1,S$2),Data!$K$3:$K$137,$B47)</f>
      </c>
      <c r="T47" s="466">
        <f>IFERROR(1/T$3,1)*SUMIFS(Data!$AD$3:$AD$137,Data!$Y$3:$Y$137,T$1,Data!$Z$3:$Z$137,IF(RIGHT(T$2,3)="YTD","&lt;="&amp;LEFT(T$2,2)*1,T$2),Data!$K$3:$K$137,$B47)</f>
      </c>
      <c r="U47" s="3"/>
      <c r="V47" s="466">
        <f>G47</f>
      </c>
      <c r="W47" s="466">
        <f>$G47</f>
      </c>
      <c r="X47" s="466">
        <f>$G47</f>
      </c>
      <c r="Y47" s="466">
        <f>$G47</f>
      </c>
      <c r="Z47" s="466">
        <f>$G47</f>
      </c>
      <c r="AA47" s="466">
        <f>$G47</f>
      </c>
      <c r="AB47" s="466">
        <f>$G47</f>
      </c>
      <c r="AC47" s="466">
        <f>$G47</f>
      </c>
      <c r="AD47" s="466">
        <f>$G47</f>
      </c>
      <c r="AE47" s="466"/>
      <c r="AF47" s="466">
        <f>IFERROR(1/AF$3,1)*SUMIFS(Data!$AD$3:$AD$137,Data!$Y$3:$Y$137,AF$1,Data!$Z$3:$Z$137,IF(RIGHT(AF$2,3)="YTD","&lt;="&amp;LEFT(AF$2,2)*1,AF$2),Data!$K$3:$K$137,$B23)</f>
      </c>
      <c r="AG47" s="466">
        <f>AK47/12*$C$5</f>
      </c>
      <c r="AH47" s="467">
        <f>AF47-AG47</f>
      </c>
      <c r="AI47" s="3"/>
      <c r="AJ47" s="466">
        <v>8904</v>
      </c>
      <c r="AK47" s="466">
        <v>0</v>
      </c>
      <c r="AL47" s="3"/>
      <c r="AM47" s="3"/>
      <c r="AN47" s="3"/>
      <c r="AO47" s="3"/>
      <c r="AP47" s="3"/>
      <c r="AQ47" s="3"/>
      <c r="AR47" s="3"/>
      <c r="AS47" s="3"/>
    </row>
    <row x14ac:dyDescent="0.25" r="48" customHeight="1" ht="19.5" hidden="1">
      <c r="A48" s="3"/>
      <c r="B48" s="478" t="s">
        <v>551</v>
      </c>
      <c r="C48" s="468" t="s">
        <v>535</v>
      </c>
      <c r="D48" s="3"/>
      <c r="E48" s="466">
        <f>$AJ48/E$3</f>
      </c>
      <c r="F48" s="466">
        <f>IFERROR(1/F$3,1)*SUMIFS(Data!$AD$3:$AD$137,Data!$Y$3:$Y$137,F$1,Data!$Z$3:$Z$137,IF(RIGHT(F$2,3)="YTD","&lt;="&amp;LEFT(F$2,2)*1,F$2),Data!$K$3:$K$137,$B48)</f>
      </c>
      <c r="G48" s="466">
        <f>AK48/12</f>
      </c>
      <c r="H48" s="476"/>
      <c r="I48" s="466">
        <f>IFERROR(1/I$3,1)*SUMIFS(Data!$AD$3:$AD$137,Data!$Y$3:$Y$137,I$1,Data!$Z$3:$Z$137,IF(RIGHT(I$2,3)="YTD","&lt;="&amp;LEFT(I$2,2)*1,I$2),Data!$K$3:$K$137,$B48)</f>
      </c>
      <c r="J48" s="466">
        <f>IFERROR(1/J$3,1)*SUMIFS(Data!$AD$3:$AD$137,Data!$Y$3:$Y$137,J$1,Data!$Z$3:$Z$137,IF(RIGHT(J$2,3)="YTD","&lt;="&amp;LEFT(J$2,2)*1,J$2),Data!$K$3:$K$137,$B48)</f>
      </c>
      <c r="K48" s="466">
        <f>IFERROR(1/K$3,1)*SUMIFS(Data!$AD$3:$AD$137,Data!$Y$3:$Y$137,K$1,Data!$Z$3:$Z$137,IF(RIGHT(K$2,3)="YTD","&lt;="&amp;LEFT(K$2,2)*1,K$2),Data!$K$3:$K$137,$B48)</f>
      </c>
      <c r="L48" s="466">
        <f>IFERROR(1/L$3,1)*SUMIFS(Data!$AD$3:$AD$137,Data!$Y$3:$Y$137,L$1,Data!$Z$3:$Z$137,IF(RIGHT(L$2,3)="YTD","&lt;="&amp;LEFT(L$2,2)*1,L$2),Data!$K$3:$K$137,$B48)</f>
      </c>
      <c r="M48" s="466">
        <f>IFERROR(1/M$3,1)*SUMIFS(Data!$AD$3:$AD$137,Data!$Y$3:$Y$137,M$1,Data!$Z$3:$Z$137,IF(RIGHT(M$2,3)="YTD","&lt;="&amp;LEFT(M$2,2)*1,M$2),Data!$K$3:$K$137,$B48)</f>
      </c>
      <c r="N48" s="466">
        <f>IFERROR(1/N$3,1)*SUMIFS(Data!$AD$3:$AD$137,Data!$Y$3:$Y$137,N$1,Data!$Z$3:$Z$137,IF(RIGHT(N$2,3)="YTD","&lt;="&amp;LEFT(N$2,2)*1,N$2),Data!$K$3:$K$137,$B48)</f>
      </c>
      <c r="O48" s="466">
        <f>IFERROR(1/O$3,1)*SUMIFS(Data!$AD$3:$AD$137,Data!$Y$3:$Y$137,O$1,Data!$Z$3:$Z$137,IF(RIGHT(O$2,3)="YTD","&lt;="&amp;LEFT(O$2,2)*1,O$2),Data!$K$3:$K$137,$B48)</f>
      </c>
      <c r="P48" s="466">
        <f>IFERROR(1/P$3,1)*SUMIFS(Data!$AD$3:$AD$137,Data!$Y$3:$Y$137,P$1,Data!$Z$3:$Z$137,IF(RIGHT(P$2,3)="YTD","&lt;="&amp;LEFT(P$2,2)*1,P$2),Data!$K$3:$K$137,$B48)</f>
      </c>
      <c r="Q48" s="466">
        <f>IFERROR(1/Q$3,1)*SUMIFS(Data!$AD$3:$AD$137,Data!$Y$3:$Y$137,Q$1,Data!$Z$3:$Z$137,IF(RIGHT(Q$2,3)="YTD","&lt;="&amp;LEFT(Q$2,2)*1,Q$2),Data!$K$3:$K$137,$B48)</f>
      </c>
      <c r="R48" s="466">
        <f>IFERROR(1/R$3,1)*SUMIFS(Data!$AD$3:$AD$137,Data!$Y$3:$Y$137,R$1,Data!$Z$3:$Z$137,IF(RIGHT(R$2,3)="YTD","&lt;="&amp;LEFT(R$2,2)*1,R$2),Data!$K$3:$K$137,$B48)</f>
      </c>
      <c r="S48" s="466">
        <f>IFERROR(1/S$3,1)*SUMIFS(Data!$AD$3:$AD$137,Data!$Y$3:$Y$137,S$1,Data!$Z$3:$Z$137,IF(RIGHT(S$2,3)="YTD","&lt;="&amp;LEFT(S$2,2)*1,S$2),Data!$K$3:$K$137,$B48)</f>
      </c>
      <c r="T48" s="466">
        <f>IFERROR(1/T$3,1)*SUMIFS(Data!$AD$3:$AD$137,Data!$Y$3:$Y$137,T$1,Data!$Z$3:$Z$137,IF(RIGHT(T$2,3)="YTD","&lt;="&amp;LEFT(T$2,2)*1,T$2),Data!$K$3:$K$137,$B48)</f>
      </c>
      <c r="U48" s="3"/>
      <c r="V48" s="466">
        <f>G48</f>
      </c>
      <c r="W48" s="466">
        <f>$G48</f>
      </c>
      <c r="X48" s="466">
        <f>$G48</f>
      </c>
      <c r="Y48" s="466">
        <f>$G48</f>
      </c>
      <c r="Z48" s="466">
        <f>$G48</f>
      </c>
      <c r="AA48" s="466">
        <f>$G48</f>
      </c>
      <c r="AB48" s="466">
        <f>$G48</f>
      </c>
      <c r="AC48" s="466">
        <f>$G48</f>
      </c>
      <c r="AD48" s="466">
        <f>$G48</f>
      </c>
      <c r="AE48" s="466"/>
      <c r="AF48" s="466">
        <f>IFERROR(1/AF$3,1)*SUMIFS(Data!$AD$3:$AD$137,Data!$Y$3:$Y$137,AF$1,Data!$Z$3:$Z$137,IF(RIGHT(AF$2,3)="YTD","&lt;="&amp;LEFT(AF$2,2)*1,AF$2),Data!$K$3:$K$137,$B24)</f>
      </c>
      <c r="AG48" s="466">
        <f>AK48/12*$C$5</f>
      </c>
      <c r="AH48" s="467">
        <f>AF48-AG48</f>
      </c>
      <c r="AI48" s="3"/>
      <c r="AJ48" s="466">
        <v>271320</v>
      </c>
      <c r="AK48" s="466">
        <v>0</v>
      </c>
      <c r="AL48" s="3"/>
      <c r="AM48" s="3"/>
      <c r="AN48" s="3"/>
      <c r="AO48" s="3"/>
      <c r="AP48" s="3"/>
      <c r="AQ48" s="3"/>
      <c r="AR48" s="3"/>
      <c r="AS48" s="3"/>
    </row>
    <row x14ac:dyDescent="0.25" r="49" customHeight="1" ht="19.5" hidden="1">
      <c r="A49" s="3"/>
      <c r="B49" s="41" t="s">
        <v>552</v>
      </c>
      <c r="C49" s="468" t="s">
        <v>535</v>
      </c>
      <c r="D49" s="3"/>
      <c r="E49" s="469"/>
      <c r="F49" s="469"/>
      <c r="G49" s="466"/>
      <c r="H49" s="476"/>
      <c r="I49" s="469">
        <f>SUM(I39:I48)</f>
      </c>
      <c r="J49" s="469">
        <f>SUM(J39:J48)</f>
      </c>
      <c r="K49" s="469">
        <f>SUM(K39:K48)</f>
      </c>
      <c r="L49" s="469">
        <f>SUM(L39:L48)</f>
      </c>
      <c r="M49" s="469">
        <f>SUM(M39:M48)</f>
      </c>
      <c r="N49" s="469">
        <f>SUM(N39:N48)</f>
      </c>
      <c r="O49" s="469">
        <f>SUM(O39:O48)</f>
      </c>
      <c r="P49" s="469">
        <f>SUM(P39:P48)</f>
      </c>
      <c r="Q49" s="469">
        <f>SUM(Q39:Q48)</f>
      </c>
      <c r="R49" s="469">
        <f>SUM(R39:R48)</f>
      </c>
      <c r="S49" s="469">
        <f>SUM(S39:S48)</f>
      </c>
      <c r="T49" s="469">
        <f>SUM(T39:T48)</f>
      </c>
      <c r="U49" s="469"/>
      <c r="V49" s="469">
        <f>SUM(V39:V48)</f>
      </c>
      <c r="W49" s="469">
        <f>SUM(W39:W48)</f>
      </c>
      <c r="X49" s="469">
        <f>SUM(X39:X48)</f>
      </c>
      <c r="Y49" s="469">
        <f>SUM(Y39:Y48)</f>
      </c>
      <c r="Z49" s="469"/>
      <c r="AA49" s="469"/>
      <c r="AB49" s="469"/>
      <c r="AC49" s="469"/>
      <c r="AD49" s="469"/>
      <c r="AE49" s="469"/>
      <c r="AF49" s="469">
        <f>SUM(AF39:AF48)</f>
      </c>
      <c r="AG49" s="469">
        <f>SUM(AG39:AG48)</f>
      </c>
      <c r="AH49" s="469">
        <f>SUM(AH39:AH48)</f>
      </c>
      <c r="AI49" s="3"/>
      <c r="AJ49" s="469">
        <v>1606577.5</v>
      </c>
      <c r="AK49" s="469">
        <f>SUM(AK39:AK48)</f>
      </c>
      <c r="AL49" s="3"/>
      <c r="AM49" s="3"/>
      <c r="AN49" s="3"/>
      <c r="AO49" s="3"/>
      <c r="AP49" s="3"/>
      <c r="AQ49" s="3"/>
      <c r="AR49" s="3"/>
      <c r="AS49" s="3"/>
    </row>
    <row x14ac:dyDescent="0.25" r="50" customHeight="1" ht="19.5" hidden="1">
      <c r="A50" s="3"/>
      <c r="B50" s="470" t="s">
        <v>553</v>
      </c>
      <c r="C50" s="468" t="s">
        <v>535</v>
      </c>
      <c r="D50" s="3"/>
      <c r="E50" s="471">
        <f>$AJ50/E$3</f>
      </c>
      <c r="F50" s="471">
        <f>SUM(I50:T50)/LEFT($F$2,2)</f>
      </c>
      <c r="G50" s="471">
        <f>AK50/12</f>
      </c>
      <c r="H50" s="476"/>
      <c r="I50" s="471">
        <f>Reporting!C74</f>
      </c>
      <c r="J50" s="471">
        <f>Reporting!D74</f>
      </c>
      <c r="K50" s="471">
        <f>Reporting!E74</f>
      </c>
      <c r="L50" s="471">
        <f>Reporting!F74</f>
      </c>
      <c r="M50" s="471">
        <f>Reporting!G74</f>
      </c>
      <c r="N50" s="479">
        <f>Reporting!H74</f>
      </c>
      <c r="O50" s="479">
        <f>Reporting!I74</f>
      </c>
      <c r="P50" s="479">
        <f>Reporting!J74</f>
      </c>
      <c r="Q50" s="479">
        <f>Reporting!K74</f>
      </c>
      <c r="R50" s="479">
        <f>Reporting!L74</f>
      </c>
      <c r="S50" s="479">
        <f>Reporting!M74</f>
      </c>
      <c r="T50" s="479">
        <f>Reporting!N74</f>
      </c>
      <c r="U50" s="3"/>
      <c r="V50" s="479">
        <f>G50</f>
      </c>
      <c r="W50" s="471">
        <f>G50</f>
      </c>
      <c r="X50" s="471">
        <f>G50</f>
      </c>
      <c r="Y50" s="471">
        <f>G50</f>
      </c>
      <c r="Z50" s="471">
        <f>V50</f>
      </c>
      <c r="AA50" s="471">
        <f>V50</f>
      </c>
      <c r="AB50" s="471">
        <f>V50</f>
      </c>
      <c r="AC50" s="471">
        <f>V50</f>
      </c>
      <c r="AD50" s="471">
        <f>Z50</f>
      </c>
      <c r="AE50" s="471"/>
      <c r="AF50" s="471">
        <f>SUM(I50:T50)</f>
      </c>
      <c r="AG50" s="471">
        <f>AK50/12*$C$5</f>
      </c>
      <c r="AH50" s="472"/>
      <c r="AI50" s="3"/>
      <c r="AJ50" s="471">
        <v>2943191.83</v>
      </c>
      <c r="AK50" s="490">
        <v>6630000</v>
      </c>
      <c r="AL50" s="3"/>
      <c r="AM50" s="3"/>
      <c r="AN50" s="3"/>
      <c r="AO50" s="3"/>
      <c r="AP50" s="3"/>
      <c r="AQ50" s="3"/>
      <c r="AR50" s="3"/>
      <c r="AS50" s="3"/>
    </row>
    <row x14ac:dyDescent="0.25" r="51" customHeight="1" ht="19.5" hidden="1">
      <c r="A51" s="3"/>
      <c r="B51" s="41" t="s">
        <v>554</v>
      </c>
      <c r="C51" s="468" t="s">
        <v>535</v>
      </c>
      <c r="D51" s="3"/>
      <c r="E51" s="469"/>
      <c r="F51" s="469"/>
      <c r="G51" s="466"/>
      <c r="H51" s="476"/>
      <c r="I51" s="469">
        <f>I49+I50</f>
      </c>
      <c r="J51" s="469">
        <f>J49+J50</f>
      </c>
      <c r="K51" s="469">
        <f>K49+K50</f>
      </c>
      <c r="L51" s="469">
        <f>L49+L50</f>
      </c>
      <c r="M51" s="469">
        <f>M49+M50</f>
      </c>
      <c r="N51" s="469">
        <f>N49+N50</f>
      </c>
      <c r="O51" s="469">
        <f>O49+O50</f>
      </c>
      <c r="P51" s="469">
        <f>P49+P50</f>
      </c>
      <c r="Q51" s="469">
        <f>Q49+Q50</f>
      </c>
      <c r="R51" s="469">
        <f>R49+R50</f>
      </c>
      <c r="S51" s="469">
        <f>S49+S50</f>
      </c>
      <c r="T51" s="469">
        <f>T49+T50</f>
      </c>
      <c r="U51" s="469"/>
      <c r="V51" s="469">
        <f>V49+V50</f>
      </c>
      <c r="W51" s="469">
        <f>W49+W50</f>
      </c>
      <c r="X51" s="469">
        <f>X49+X50</f>
      </c>
      <c r="Y51" s="469">
        <f>Y49+Y50</f>
      </c>
      <c r="Z51" s="469">
        <f>W51</f>
      </c>
      <c r="AA51" s="469">
        <f>X51</f>
      </c>
      <c r="AB51" s="469">
        <f>X51</f>
      </c>
      <c r="AC51" s="469">
        <f>X51</f>
      </c>
      <c r="AD51" s="469">
        <f>X51</f>
      </c>
      <c r="AE51" s="469"/>
      <c r="AF51" s="469">
        <f>SUM(I51:S51)</f>
      </c>
      <c r="AG51" s="469">
        <f>AD51*C5</f>
      </c>
      <c r="AH51" s="473"/>
      <c r="AI51" s="3"/>
      <c r="AJ51" s="469">
        <f>SUM(M51:W51)</f>
      </c>
      <c r="AK51" s="469"/>
      <c r="AL51" s="478"/>
      <c r="AM51" s="478"/>
      <c r="AN51" s="478"/>
      <c r="AO51" s="478"/>
      <c r="AP51" s="478"/>
      <c r="AQ51" s="478"/>
      <c r="AR51" s="478"/>
      <c r="AS51" s="478"/>
    </row>
    <row x14ac:dyDescent="0.25" r="52" customHeight="1" ht="19.5">
      <c r="A52" s="3"/>
      <c r="B52" s="41"/>
      <c r="C52" s="468"/>
      <c r="D52" s="3"/>
      <c r="E52" s="469"/>
      <c r="F52" s="469"/>
      <c r="G52" s="466"/>
      <c r="H52" s="476"/>
      <c r="I52" s="469"/>
      <c r="J52" s="469"/>
      <c r="K52" s="469"/>
      <c r="L52" s="469"/>
      <c r="M52" s="469"/>
      <c r="N52" s="477"/>
      <c r="O52" s="477"/>
      <c r="P52" s="477"/>
      <c r="Q52" s="477"/>
      <c r="R52" s="477"/>
      <c r="S52" s="477"/>
      <c r="T52" s="477"/>
      <c r="U52" s="3"/>
      <c r="V52" s="477"/>
      <c r="W52" s="469"/>
      <c r="X52" s="469"/>
      <c r="Y52" s="469"/>
      <c r="Z52" s="469"/>
      <c r="AA52" s="469"/>
      <c r="AB52" s="469"/>
      <c r="AC52" s="469"/>
      <c r="AD52" s="469"/>
      <c r="AE52" s="469"/>
      <c r="AF52" s="469"/>
      <c r="AG52" s="469"/>
      <c r="AH52" s="473"/>
      <c r="AI52" s="3"/>
      <c r="AJ52" s="469"/>
      <c r="AK52" s="469"/>
      <c r="AL52" s="478"/>
      <c r="AM52" s="478"/>
      <c r="AN52" s="478"/>
      <c r="AO52" s="478"/>
      <c r="AP52" s="478"/>
      <c r="AQ52" s="478"/>
      <c r="AR52" s="478"/>
      <c r="AS52" s="478"/>
    </row>
    <row x14ac:dyDescent="0.25" r="53" customHeight="1" ht="19.5" hidden="1">
      <c r="A53" s="3"/>
      <c r="B53" s="198"/>
      <c r="C53" s="30"/>
      <c r="D53" s="3"/>
      <c r="E53" s="475"/>
      <c r="F53" s="475"/>
      <c r="G53" s="475"/>
      <c r="H53" s="3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3"/>
      <c r="V53" s="475"/>
      <c r="W53" s="475"/>
      <c r="X53" s="475"/>
      <c r="Y53" s="475"/>
      <c r="Z53" s="475"/>
      <c r="AA53" s="475"/>
      <c r="AB53" s="475"/>
      <c r="AC53" s="475"/>
      <c r="AD53" s="440"/>
      <c r="AE53" s="440"/>
      <c r="AF53" s="440"/>
      <c r="AG53" s="440"/>
      <c r="AH53" s="440"/>
      <c r="AI53" s="3"/>
      <c r="AJ53" s="480"/>
      <c r="AK53" s="487"/>
      <c r="AL53" s="3"/>
      <c r="AM53" s="3"/>
      <c r="AN53" s="3"/>
      <c r="AO53" s="3"/>
      <c r="AP53" s="3"/>
      <c r="AQ53" s="3"/>
      <c r="AR53" s="3"/>
      <c r="AS53" s="3"/>
    </row>
    <row x14ac:dyDescent="0.25" r="54" customHeight="1" ht="19.5" hidden="1">
      <c r="A54" s="3"/>
      <c r="B54" s="3"/>
      <c r="C54" s="468"/>
      <c r="D54" s="478"/>
      <c r="E54" s="445" t="s">
        <v>513</v>
      </c>
      <c r="F54" s="446" t="s">
        <v>514</v>
      </c>
      <c r="G54" s="447" t="s">
        <v>575</v>
      </c>
      <c r="H54" s="33"/>
      <c r="I54" s="448">
        <f>TEXT(I$2,"00")&amp;" "&amp;I$1</f>
      </c>
      <c r="J54" s="448">
        <f>TEXT(J$2,"00")&amp;" "&amp;J$1</f>
      </c>
      <c r="K54" s="448">
        <f>TEXT(K$2,"00")&amp;" "&amp;K$1</f>
      </c>
      <c r="L54" s="448">
        <f>TEXT(L$2,"00")&amp;" "&amp;L$1</f>
      </c>
      <c r="M54" s="448">
        <f>TEXT(M$2,"00")&amp;" "&amp;M$1</f>
      </c>
      <c r="N54" s="448">
        <f>TEXT(N$2,"00")&amp;" "&amp;N$1</f>
      </c>
      <c r="O54" s="448">
        <f>TEXT(O$2,"00")&amp;" "&amp;O$1</f>
      </c>
      <c r="P54" s="448">
        <f>TEXT(P$2,"00")&amp;" "&amp;P$1</f>
      </c>
      <c r="Q54" s="448">
        <f>TEXT(Q$2,"00")&amp;" "&amp;Q$1</f>
      </c>
      <c r="R54" s="448">
        <f>TEXT(R$2,"00")&amp;" "&amp;R$1</f>
      </c>
      <c r="S54" s="448">
        <f>TEXT(S$2,"00")&amp;" "&amp;S$1</f>
      </c>
      <c r="T54" s="448">
        <f>TEXT(T$2,"00")&amp;" "&amp;T$1</f>
      </c>
      <c r="U54" s="33"/>
      <c r="V54" s="452" t="s">
        <v>585</v>
      </c>
      <c r="W54" s="452" t="s">
        <v>522</v>
      </c>
      <c r="X54" s="452" t="s">
        <v>522</v>
      </c>
      <c r="Y54" s="452" t="s">
        <v>522</v>
      </c>
      <c r="Z54" s="452" t="s">
        <v>522</v>
      </c>
      <c r="AA54" s="452" t="s">
        <v>522</v>
      </c>
      <c r="AB54" s="452" t="s">
        <v>522</v>
      </c>
      <c r="AC54" s="452" t="s">
        <v>522</v>
      </c>
      <c r="AD54" s="452" t="s">
        <v>522</v>
      </c>
      <c r="AE54" s="481"/>
      <c r="AF54" s="448">
        <f>AF$2&amp;" "&amp;AF$1</f>
      </c>
      <c r="AG54" s="454">
        <f>AG$2&amp;" "&amp;AG$1</f>
      </c>
      <c r="AH54" s="455">
        <f>AH$2&amp;" "&amp;AH$1</f>
      </c>
      <c r="AI54" s="33"/>
      <c r="AJ54" s="456">
        <f>AJ$2&amp;" "&amp;AJ$1</f>
      </c>
      <c r="AK54" s="454">
        <f>AK$2&amp;" "&amp;AK$1</f>
      </c>
      <c r="AL54" s="3"/>
      <c r="AM54" s="3"/>
      <c r="AN54" s="3"/>
      <c r="AO54" s="3"/>
      <c r="AP54" s="3"/>
      <c r="AQ54" s="3"/>
      <c r="AR54" s="3"/>
      <c r="AS54" s="3"/>
    </row>
    <row x14ac:dyDescent="0.25" r="55" customHeight="1" ht="19.5" hidden="1">
      <c r="A55" s="3"/>
      <c r="B55" s="3"/>
      <c r="C55" s="195"/>
      <c r="D55" s="33"/>
      <c r="E55" s="445" t="s">
        <v>40</v>
      </c>
      <c r="F55" s="446" t="s">
        <v>40</v>
      </c>
      <c r="G55" s="447" t="s">
        <v>441</v>
      </c>
      <c r="H55" s="33"/>
      <c r="I55" s="450" t="s">
        <v>40</v>
      </c>
      <c r="J55" s="450" t="s">
        <v>40</v>
      </c>
      <c r="K55" s="450" t="s">
        <v>40</v>
      </c>
      <c r="L55" s="450" t="s">
        <v>40</v>
      </c>
      <c r="M55" s="448" t="s">
        <v>40</v>
      </c>
      <c r="N55" s="448" t="s">
        <v>40</v>
      </c>
      <c r="O55" s="448" t="s">
        <v>40</v>
      </c>
      <c r="P55" s="448" t="s">
        <v>40</v>
      </c>
      <c r="Q55" s="448" t="s">
        <v>40</v>
      </c>
      <c r="R55" s="448" t="s">
        <v>40</v>
      </c>
      <c r="S55" s="448" t="s">
        <v>40</v>
      </c>
      <c r="T55" s="448" t="s">
        <v>40</v>
      </c>
      <c r="U55" s="33"/>
      <c r="V55" s="452" t="s">
        <v>528</v>
      </c>
      <c r="W55" s="452" t="s">
        <v>528</v>
      </c>
      <c r="X55" s="452" t="s">
        <v>528</v>
      </c>
      <c r="Y55" s="452" t="s">
        <v>528</v>
      </c>
      <c r="Z55" s="452" t="s">
        <v>528</v>
      </c>
      <c r="AA55" s="452" t="s">
        <v>528</v>
      </c>
      <c r="AB55" s="452" t="s">
        <v>528</v>
      </c>
      <c r="AC55" s="452" t="s">
        <v>528</v>
      </c>
      <c r="AD55" s="452" t="s">
        <v>528</v>
      </c>
      <c r="AE55" s="481"/>
      <c r="AF55" s="448" t="s">
        <v>529</v>
      </c>
      <c r="AG55" s="454" t="s">
        <v>530</v>
      </c>
      <c r="AH55" s="455" t="s">
        <v>531</v>
      </c>
      <c r="AI55" s="33"/>
      <c r="AJ55" s="457" t="s">
        <v>529</v>
      </c>
      <c r="AK55" s="458" t="s">
        <v>530</v>
      </c>
      <c r="AL55" s="3"/>
      <c r="AM55" s="3"/>
      <c r="AN55" s="3"/>
      <c r="AO55" s="3"/>
      <c r="AP55" s="3"/>
      <c r="AQ55" s="3"/>
      <c r="AR55" s="3"/>
      <c r="AS55" s="3"/>
    </row>
    <row x14ac:dyDescent="0.25" r="56" customHeight="1" ht="19.5" hidden="1">
      <c r="A56" s="3"/>
      <c r="B56" s="459" t="s">
        <v>563</v>
      </c>
      <c r="C56" s="3"/>
      <c r="D56" s="3"/>
      <c r="E56" s="8"/>
      <c r="F56" s="8"/>
      <c r="G56" s="8"/>
      <c r="H56" s="3"/>
      <c r="I56" s="487"/>
      <c r="J56" s="487"/>
      <c r="K56" s="487"/>
      <c r="L56" s="487"/>
      <c r="M56" s="440"/>
      <c r="N56" s="440"/>
      <c r="O56" s="440"/>
      <c r="P56" s="440"/>
      <c r="Q56" s="440"/>
      <c r="R56" s="440"/>
      <c r="S56" s="440"/>
      <c r="T56" s="440"/>
      <c r="U56" s="3"/>
      <c r="V56" s="440"/>
      <c r="W56" s="440"/>
      <c r="X56" s="440"/>
      <c r="Y56" s="440"/>
      <c r="Z56" s="440"/>
      <c r="AA56" s="440"/>
      <c r="AB56" s="440"/>
      <c r="AC56" s="440"/>
      <c r="AD56" s="440"/>
      <c r="AE56" s="440"/>
      <c r="AF56" s="440"/>
      <c r="AG56" s="440"/>
      <c r="AH56" s="440"/>
      <c r="AI56" s="3"/>
      <c r="AJ56" s="487"/>
      <c r="AK56" s="487"/>
      <c r="AL56" s="3"/>
      <c r="AM56" s="3"/>
      <c r="AN56" s="3"/>
      <c r="AO56" s="3"/>
      <c r="AP56" s="3"/>
      <c r="AQ56" s="3"/>
      <c r="AR56" s="3"/>
      <c r="AS56" s="3"/>
    </row>
    <row x14ac:dyDescent="0.25" r="57" customHeight="1" ht="19.5" hidden="1">
      <c r="A57" s="3"/>
      <c r="B57" s="478" t="s">
        <v>564</v>
      </c>
      <c r="C57" s="468" t="s">
        <v>565</v>
      </c>
      <c r="D57" s="3"/>
      <c r="E57" s="469"/>
      <c r="F57" s="469">
        <f>IFERROR(1/F$3,1)*SUM(I57:T57)</f>
      </c>
      <c r="G57" s="469">
        <f>AK57/12</f>
      </c>
      <c r="H57" s="473"/>
      <c r="I57" s="469">
        <v>46</v>
      </c>
      <c r="J57" s="469">
        <v>44</v>
      </c>
      <c r="K57" s="469">
        <v>61</v>
      </c>
      <c r="L57" s="469">
        <v>12</v>
      </c>
      <c r="M57" s="469"/>
      <c r="N57" s="469"/>
      <c r="O57" s="469"/>
      <c r="P57" s="469"/>
      <c r="Q57" s="469"/>
      <c r="R57" s="469"/>
      <c r="S57" s="469"/>
      <c r="T57" s="469"/>
      <c r="U57" s="473"/>
      <c r="V57" s="469">
        <f>G57</f>
      </c>
      <c r="W57" s="469">
        <f>G57</f>
      </c>
      <c r="X57" s="469">
        <f>G57</f>
      </c>
      <c r="Y57" s="469">
        <f>G57</f>
      </c>
      <c r="Z57" s="469">
        <f>G57</f>
      </c>
      <c r="AA57" s="469">
        <f>W57</f>
      </c>
      <c r="AB57" s="469">
        <f>X57</f>
      </c>
      <c r="AC57" s="469">
        <f>Y57</f>
      </c>
      <c r="AD57" s="469">
        <f>Z57</f>
      </c>
      <c r="AE57" s="469"/>
      <c r="AF57" s="469">
        <f>SUM(I57:L57)</f>
      </c>
      <c r="AG57" s="469">
        <f>AD57*C5</f>
      </c>
      <c r="AH57" s="473"/>
      <c r="AI57" s="473"/>
      <c r="AJ57" s="469">
        <f>SUM(M57:P57)</f>
      </c>
      <c r="AK57" s="469">
        <v>1149</v>
      </c>
      <c r="AL57" s="3"/>
      <c r="AM57" s="3"/>
      <c r="AN57" s="3"/>
      <c r="AO57" s="3"/>
      <c r="AP57" s="3"/>
      <c r="AQ57" s="3"/>
      <c r="AR57" s="3"/>
      <c r="AS57" s="3"/>
    </row>
    <row x14ac:dyDescent="0.25" r="58" customHeight="1" ht="19.5" hidden="1">
      <c r="A58" s="3"/>
      <c r="B58" s="478" t="s">
        <v>568</v>
      </c>
      <c r="C58" s="468" t="s">
        <v>569</v>
      </c>
      <c r="D58" s="3"/>
      <c r="E58" s="469"/>
      <c r="F58" s="469">
        <f>IFERROR(1/F$3,1)*SUM(I58:T58)</f>
      </c>
      <c r="G58" s="469">
        <f>AK58/12</f>
      </c>
      <c r="H58" s="473"/>
      <c r="I58" s="469">
        <v>8169.79</v>
      </c>
      <c r="J58" s="469">
        <v>7471.4</v>
      </c>
      <c r="K58" s="469">
        <v>-410.41</v>
      </c>
      <c r="L58" s="469">
        <v>3676</v>
      </c>
      <c r="M58" s="469"/>
      <c r="N58" s="469"/>
      <c r="O58" s="469"/>
      <c r="P58" s="469"/>
      <c r="Q58" s="469"/>
      <c r="R58" s="469"/>
      <c r="S58" s="469"/>
      <c r="T58" s="469"/>
      <c r="U58" s="473"/>
      <c r="V58" s="469">
        <f>G58</f>
      </c>
      <c r="W58" s="469">
        <f>G58</f>
      </c>
      <c r="X58" s="469">
        <f>G58</f>
      </c>
      <c r="Y58" s="469">
        <f>G58</f>
      </c>
      <c r="Z58" s="469">
        <f>G58</f>
      </c>
      <c r="AA58" s="469">
        <f>W58</f>
      </c>
      <c r="AB58" s="469">
        <f>X58</f>
      </c>
      <c r="AC58" s="469">
        <f>Y58</f>
      </c>
      <c r="AD58" s="469">
        <f>Z58</f>
      </c>
      <c r="AE58" s="469"/>
      <c r="AF58" s="469">
        <f>SUM(I58:K58)</f>
      </c>
      <c r="AG58" s="469">
        <f>AD58*C5</f>
      </c>
      <c r="AH58" s="473"/>
      <c r="AI58" s="473"/>
      <c r="AJ58" s="469">
        <f>SUM(M58:O58)</f>
      </c>
      <c r="AK58" s="469">
        <v>214000</v>
      </c>
      <c r="AL58" s="3"/>
      <c r="AM58" s="3"/>
      <c r="AN58" s="3"/>
      <c r="AO58" s="3"/>
      <c r="AP58" s="3"/>
      <c r="AQ58" s="3"/>
      <c r="AR58" s="3"/>
      <c r="AS58" s="3"/>
    </row>
    <row x14ac:dyDescent="0.25" r="59" customHeight="1" ht="19.5" hidden="1">
      <c r="A59" s="3"/>
      <c r="B59" s="478" t="s">
        <v>572</v>
      </c>
      <c r="C59" s="468" t="s">
        <v>569</v>
      </c>
      <c r="D59" s="3"/>
      <c r="E59" s="469"/>
      <c r="F59" s="469">
        <f>IFERROR(1/F$3,1)*SUM(I59:T59)</f>
      </c>
      <c r="G59" s="469">
        <f>AK59/12</f>
      </c>
      <c r="H59" s="473"/>
      <c r="I59" s="469">
        <v>11726</v>
      </c>
      <c r="J59" s="469">
        <v>11843.6</v>
      </c>
      <c r="K59" s="469">
        <v>3296</v>
      </c>
      <c r="L59" s="469">
        <v>5351</v>
      </c>
      <c r="M59" s="469"/>
      <c r="N59" s="469"/>
      <c r="O59" s="469"/>
      <c r="P59" s="469"/>
      <c r="Q59" s="469"/>
      <c r="R59" s="469"/>
      <c r="S59" s="469"/>
      <c r="T59" s="469"/>
      <c r="U59" s="473"/>
      <c r="V59" s="469">
        <f>G59</f>
      </c>
      <c r="W59" s="469">
        <f>G59</f>
      </c>
      <c r="X59" s="469">
        <f>G59</f>
      </c>
      <c r="Y59" s="469">
        <f>G59</f>
      </c>
      <c r="Z59" s="469">
        <f>G59</f>
      </c>
      <c r="AA59" s="469">
        <f>W59</f>
      </c>
      <c r="AB59" s="469">
        <f>X59</f>
      </c>
      <c r="AC59" s="469">
        <f>Y59</f>
      </c>
      <c r="AD59" s="469">
        <f>Z59</f>
      </c>
      <c r="AE59" s="469"/>
      <c r="AF59" s="469">
        <f>SUM(I59:K59)</f>
      </c>
      <c r="AG59" s="469">
        <f>AD59*C5</f>
      </c>
      <c r="AH59" s="473"/>
      <c r="AI59" s="473"/>
      <c r="AJ59" s="469">
        <f>SUM(M59:O59)</f>
      </c>
      <c r="AK59" s="469">
        <v>500000</v>
      </c>
      <c r="AL59" s="3"/>
      <c r="AM59" s="3"/>
      <c r="AN59" s="3"/>
      <c r="AO59" s="3"/>
      <c r="AP59" s="3"/>
      <c r="AQ59" s="3"/>
      <c r="AR59" s="3"/>
      <c r="AS59" s="3"/>
    </row>
    <row x14ac:dyDescent="0.25" r="60" customHeight="1" ht="19.5" hidden="1">
      <c r="A60" s="3"/>
      <c r="B60" s="33"/>
      <c r="C60" s="3"/>
      <c r="D60" s="3"/>
      <c r="E60" s="8"/>
      <c r="F60" s="8"/>
      <c r="G60" s="8"/>
      <c r="H60" s="3"/>
      <c r="I60" s="487"/>
      <c r="J60" s="487"/>
      <c r="K60" s="487"/>
      <c r="L60" s="487"/>
      <c r="M60" s="440"/>
      <c r="N60" s="440"/>
      <c r="O60" s="440"/>
      <c r="P60" s="440"/>
      <c r="Q60" s="440"/>
      <c r="R60" s="440"/>
      <c r="S60" s="440"/>
      <c r="T60" s="440"/>
      <c r="U60" s="3"/>
      <c r="V60" s="440"/>
      <c r="W60" s="440"/>
      <c r="X60" s="440"/>
      <c r="Y60" s="440"/>
      <c r="Z60" s="440"/>
      <c r="AA60" s="440"/>
      <c r="AB60" s="440"/>
      <c r="AC60" s="440"/>
      <c r="AD60" s="440"/>
      <c r="AE60" s="440"/>
      <c r="AF60" s="440"/>
      <c r="AG60" s="440"/>
      <c r="AH60" s="440"/>
      <c r="AI60" s="3"/>
      <c r="AJ60" s="487"/>
      <c r="AK60" s="487"/>
      <c r="AL60" s="3"/>
      <c r="AM60" s="3"/>
      <c r="AN60" s="3"/>
      <c r="AO60" s="3"/>
      <c r="AP60" s="3"/>
      <c r="AQ60" s="3"/>
      <c r="AR60" s="3"/>
      <c r="AS60" s="3"/>
    </row>
    <row x14ac:dyDescent="0.25" r="61" customHeight="1" ht="19.5" hidden="1">
      <c r="A61" s="3"/>
      <c r="B61" s="3"/>
      <c r="C61" s="3"/>
      <c r="D61" s="3"/>
      <c r="E61" s="8"/>
      <c r="F61" s="8"/>
      <c r="G61" s="8"/>
      <c r="H61" s="3"/>
      <c r="I61" s="487"/>
      <c r="J61" s="487"/>
      <c r="K61" s="487"/>
      <c r="L61" s="487"/>
      <c r="M61" s="440"/>
      <c r="N61" s="440"/>
      <c r="O61" s="440"/>
      <c r="P61" s="440"/>
      <c r="Q61" s="440"/>
      <c r="R61" s="440"/>
      <c r="S61" s="440"/>
      <c r="T61" s="440"/>
      <c r="U61" s="3"/>
      <c r="V61" s="440"/>
      <c r="W61" s="440"/>
      <c r="X61" s="440"/>
      <c r="Y61" s="440"/>
      <c r="Z61" s="440"/>
      <c r="AA61" s="440"/>
      <c r="AB61" s="440"/>
      <c r="AC61" s="440"/>
      <c r="AD61" s="440"/>
      <c r="AE61" s="440"/>
      <c r="AF61" s="440"/>
      <c r="AG61" s="440"/>
      <c r="AH61" s="440"/>
      <c r="AI61" s="3"/>
      <c r="AJ61" s="487"/>
      <c r="AK61" s="487"/>
      <c r="AL61" s="3"/>
      <c r="AM61" s="3"/>
      <c r="AN61" s="3"/>
      <c r="AO61" s="3"/>
      <c r="AP61" s="3"/>
      <c r="AQ61" s="3"/>
      <c r="AR61" s="3"/>
      <c r="AS61" s="3"/>
    </row>
    <row x14ac:dyDescent="0.25" r="62" customHeight="1" ht="19.5" hidden="1">
      <c r="A62" s="3"/>
      <c r="B62" s="3"/>
      <c r="C62" s="3"/>
      <c r="D62" s="3"/>
      <c r="E62" s="8"/>
      <c r="F62" s="491"/>
      <c r="G62" s="8"/>
      <c r="H62" s="3"/>
      <c r="I62" s="487"/>
      <c r="J62" s="487"/>
      <c r="K62" s="487"/>
      <c r="L62" s="487"/>
      <c r="M62" s="440"/>
      <c r="N62" s="440"/>
      <c r="O62" s="440"/>
      <c r="P62" s="440"/>
      <c r="Q62" s="440"/>
      <c r="R62" s="440"/>
      <c r="S62" s="440"/>
      <c r="T62" s="440"/>
      <c r="U62" s="3"/>
      <c r="V62" s="440"/>
      <c r="W62" s="440"/>
      <c r="X62" s="440"/>
      <c r="Y62" s="440"/>
      <c r="Z62" s="440"/>
      <c r="AA62" s="440"/>
      <c r="AB62" s="440"/>
      <c r="AC62" s="440"/>
      <c r="AD62" s="440"/>
      <c r="AE62" s="440"/>
      <c r="AF62" s="440"/>
      <c r="AG62" s="440"/>
      <c r="AH62" s="440"/>
      <c r="AI62" s="3"/>
      <c r="AJ62" s="487"/>
      <c r="AK62" s="487"/>
      <c r="AL62" s="3"/>
      <c r="AM62" s="3"/>
      <c r="AN62" s="3"/>
      <c r="AO62" s="3"/>
      <c r="AP62" s="3"/>
      <c r="AQ62" s="3"/>
      <c r="AR62" s="3"/>
      <c r="AS62" s="3"/>
    </row>
    <row x14ac:dyDescent="0.25" r="63" customHeight="1" ht="19.5" hidden="1">
      <c r="A63" s="3"/>
      <c r="B63" s="3"/>
      <c r="C63" s="3"/>
      <c r="D63" s="3"/>
      <c r="E63" s="8"/>
      <c r="F63" s="8"/>
      <c r="G63" s="8"/>
      <c r="H63" s="3"/>
      <c r="I63" s="487"/>
      <c r="J63" s="487"/>
      <c r="K63" s="487"/>
      <c r="L63" s="487"/>
      <c r="M63" s="440"/>
      <c r="N63" s="440"/>
      <c r="O63" s="440"/>
      <c r="P63" s="440"/>
      <c r="Q63" s="440"/>
      <c r="R63" s="440"/>
      <c r="S63" s="440"/>
      <c r="T63" s="440"/>
      <c r="U63" s="3"/>
      <c r="V63" s="440"/>
      <c r="W63" s="440"/>
      <c r="X63" s="440"/>
      <c r="Y63" s="440"/>
      <c r="Z63" s="440"/>
      <c r="AA63" s="440"/>
      <c r="AB63" s="440"/>
      <c r="AC63" s="440"/>
      <c r="AD63" s="440"/>
      <c r="AE63" s="440"/>
      <c r="AF63" s="440"/>
      <c r="AG63" s="440"/>
      <c r="AH63" s="440"/>
      <c r="AI63" s="3"/>
      <c r="AJ63" s="487"/>
      <c r="AK63" s="487"/>
      <c r="AL63" s="3"/>
      <c r="AM63" s="3"/>
      <c r="AN63" s="3"/>
      <c r="AO63" s="3"/>
      <c r="AP63" s="3"/>
      <c r="AQ63" s="3"/>
      <c r="AR63" s="3"/>
      <c r="AS63" s="3"/>
    </row>
    <row x14ac:dyDescent="0.25" r="64" customHeight="1" ht="19.5">
      <c r="A64" s="3"/>
      <c r="B64" s="3"/>
      <c r="C64" s="3"/>
      <c r="D64" s="3"/>
      <c r="E64" s="8"/>
      <c r="F64" s="8"/>
      <c r="G64" s="8"/>
      <c r="H64" s="3"/>
      <c r="I64" s="487"/>
      <c r="J64" s="487"/>
      <c r="K64" s="487"/>
      <c r="L64" s="487"/>
      <c r="M64" s="440"/>
      <c r="N64" s="440"/>
      <c r="O64" s="440"/>
      <c r="P64" s="440"/>
      <c r="Q64" s="440"/>
      <c r="R64" s="440"/>
      <c r="S64" s="440"/>
      <c r="T64" s="440"/>
      <c r="U64" s="3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3"/>
      <c r="AJ64" s="487"/>
      <c r="AK64" s="487"/>
      <c r="AL64" s="3"/>
      <c r="AM64" s="3"/>
      <c r="AN64" s="3"/>
      <c r="AO64" s="3"/>
      <c r="AP64" s="3"/>
      <c r="AQ64" s="3"/>
      <c r="AR64" s="3"/>
      <c r="AS6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U64"/>
  <sheetViews>
    <sheetView workbookViewId="0"/>
  </sheetViews>
  <sheetFormatPr defaultRowHeight="15" x14ac:dyDescent="0.25"/>
  <cols>
    <col min="1" max="1" style="17" width="14.147857142857141" customWidth="1" bestFit="1" hidden="1"/>
    <col min="2" max="2" style="17" width="50.86214285714286" customWidth="1" bestFit="1"/>
    <col min="3" max="3" style="17" width="4.862142857142857" customWidth="1" bestFit="1"/>
    <col min="4" max="4" style="17" width="1.8621428571428573" customWidth="1" bestFit="1"/>
    <col min="5" max="5" style="18" width="10.576428571428572" customWidth="1" bestFit="1"/>
    <col min="6" max="6" style="486" width="10.576428571428572" customWidth="1" bestFit="1"/>
    <col min="7" max="7" style="18" width="12.576428571428572" customWidth="1" bestFit="1"/>
    <col min="8" max="8" style="17" width="1.8621428571428573" customWidth="1" bestFit="1"/>
    <col min="9" max="9" style="492" width="11.862142857142858" customWidth="1" bestFit="1"/>
    <col min="10" max="10" style="492" width="10.862142857142858" customWidth="1" bestFit="1"/>
    <col min="11" max="11" style="492" width="14.147857142857141" customWidth="1" bestFit="1" hidden="1"/>
    <col min="12" max="12" style="492" width="14.147857142857141" customWidth="1" bestFit="1" hidden="1"/>
    <col min="13" max="13" style="486" width="14.147857142857141" customWidth="1" bestFit="1" hidden="1"/>
    <col min="14" max="14" style="486" width="14.147857142857141" customWidth="1" bestFit="1" hidden="1"/>
    <col min="15" max="15" style="486" width="14.147857142857141" customWidth="1" bestFit="1" hidden="1"/>
    <col min="16" max="16" style="486" width="14.147857142857141" customWidth="1" bestFit="1" hidden="1"/>
    <col min="17" max="17" style="486" width="14.147857142857141" customWidth="1" bestFit="1" hidden="1"/>
    <col min="18" max="18" style="486" width="14.147857142857141" customWidth="1" bestFit="1" hidden="1"/>
    <col min="19" max="19" style="486" width="14.147857142857141" customWidth="1" bestFit="1" hidden="1"/>
    <col min="20" max="20" style="486" width="14.147857142857141" customWidth="1" bestFit="1" hidden="1"/>
    <col min="21" max="21" style="17" width="1.8621428571428573" customWidth="1" bestFit="1"/>
    <col min="22" max="22" style="486" width="14.147857142857141" customWidth="1" bestFit="1" hidden="1"/>
    <col min="23" max="23" style="486" width="9.719285714285713" customWidth="1" bestFit="1"/>
    <col min="24" max="24" style="486" width="9.719285714285713" customWidth="1" bestFit="1"/>
    <col min="25" max="25" style="486" width="9.719285714285713" customWidth="1" bestFit="1"/>
    <col min="26" max="26" style="486" width="9.719285714285713" customWidth="1" bestFit="1"/>
    <col min="27" max="27" style="486" width="9.719285714285713" customWidth="1" bestFit="1"/>
    <col min="28" max="28" style="486" width="9.719285714285713" customWidth="1" bestFit="1"/>
    <col min="29" max="29" style="486" width="9.719285714285713" customWidth="1" bestFit="1"/>
    <col min="30" max="30" style="486" width="9.719285714285713" customWidth="1" bestFit="1"/>
    <col min="31" max="31" style="486" width="9.719285714285713" customWidth="1" bestFit="1"/>
    <col min="32" max="32" style="486" width="9.719285714285713" customWidth="1" bestFit="1"/>
    <col min="33" max="33" style="486" width="2.5764285714285715" customWidth="1" bestFit="1"/>
    <col min="34" max="34" style="486" width="12.43357142857143" customWidth="1" bestFit="1"/>
    <col min="35" max="35" style="486" width="13.576428571428572" customWidth="1" bestFit="1"/>
    <col min="36" max="36" style="486" width="14.576428571428572" customWidth="1" bestFit="1"/>
    <col min="37" max="37" style="17" width="3.1478571428571427" customWidth="1" bestFit="1"/>
    <col min="38" max="38" style="492" width="14.147857142857141" customWidth="1" bestFit="1"/>
    <col min="39" max="39" style="492" width="15.576428571428572" customWidth="1" bestFit="1"/>
    <col min="40" max="40" style="17" width="8.862142857142858" customWidth="1" bestFit="1"/>
    <col min="41" max="41" style="17" width="14.147857142857141" customWidth="1" bestFit="1"/>
    <col min="42" max="42" style="17" width="14.147857142857141" customWidth="1" bestFit="1"/>
    <col min="43" max="43" style="17" width="14.147857142857141" customWidth="1" bestFit="1"/>
    <col min="44" max="44" style="17" width="14.147857142857141" customWidth="1" bestFit="1"/>
    <col min="45" max="45" style="17" width="14.147857142857141" customWidth="1" bestFit="1"/>
    <col min="46" max="46" style="17" width="14.147857142857141" customWidth="1" bestFit="1"/>
    <col min="47" max="47" style="17" width="14.147857142857141" customWidth="1" bestFit="1"/>
  </cols>
  <sheetData>
    <row x14ac:dyDescent="0.25" r="1" customHeight="1" ht="19.5" hidden="1">
      <c r="A1" s="3"/>
      <c r="B1" s="195" t="s">
        <v>510</v>
      </c>
      <c r="C1" s="3"/>
      <c r="D1" s="3"/>
      <c r="E1" s="120">
        <v>2021</v>
      </c>
      <c r="F1" s="120">
        <v>2022</v>
      </c>
      <c r="G1" s="120">
        <v>2022</v>
      </c>
      <c r="H1" s="3"/>
      <c r="I1" s="120">
        <v>2022</v>
      </c>
      <c r="J1" s="120">
        <v>2022</v>
      </c>
      <c r="K1" s="120">
        <v>2022</v>
      </c>
      <c r="L1" s="120">
        <v>2022</v>
      </c>
      <c r="M1" s="120">
        <v>2022</v>
      </c>
      <c r="N1" s="120">
        <v>2022</v>
      </c>
      <c r="O1" s="120">
        <v>2022</v>
      </c>
      <c r="P1" s="120">
        <v>2022</v>
      </c>
      <c r="Q1" s="120">
        <v>2022</v>
      </c>
      <c r="R1" s="120">
        <v>2022</v>
      </c>
      <c r="S1" s="120">
        <v>2022</v>
      </c>
      <c r="T1" s="120">
        <v>2022</v>
      </c>
      <c r="U1" s="3"/>
      <c r="V1" s="120">
        <v>2022</v>
      </c>
      <c r="W1" s="120">
        <v>2022</v>
      </c>
      <c r="X1" s="120">
        <v>2022</v>
      </c>
      <c r="Y1" s="120">
        <v>2022</v>
      </c>
      <c r="Z1" s="120">
        <v>2022</v>
      </c>
      <c r="AA1" s="120">
        <v>2022</v>
      </c>
      <c r="AB1" s="120">
        <v>2022</v>
      </c>
      <c r="AC1" s="120">
        <v>2022</v>
      </c>
      <c r="AD1" s="120">
        <v>2022</v>
      </c>
      <c r="AE1" s="120">
        <v>2022</v>
      </c>
      <c r="AF1" s="120">
        <v>2022</v>
      </c>
      <c r="AG1" s="66"/>
      <c r="AH1" s="120">
        <v>2022</v>
      </c>
      <c r="AI1" s="120">
        <v>2022</v>
      </c>
      <c r="AJ1" s="120">
        <v>2022</v>
      </c>
      <c r="AK1" s="3"/>
      <c r="AL1" s="166">
        <v>2021</v>
      </c>
      <c r="AM1" s="120">
        <v>2022</v>
      </c>
      <c r="AN1" s="3"/>
      <c r="AO1" s="3"/>
      <c r="AP1" s="3"/>
      <c r="AQ1" s="3"/>
      <c r="AR1" s="3"/>
      <c r="AS1" s="3"/>
      <c r="AT1" s="3"/>
      <c r="AU1" s="3"/>
    </row>
    <row x14ac:dyDescent="0.25" r="2" customHeight="1" ht="19.5" hidden="1">
      <c r="A2" s="3"/>
      <c r="B2" s="195" t="s">
        <v>511</v>
      </c>
      <c r="C2" s="3"/>
      <c r="D2" s="3"/>
      <c r="E2" s="437" t="s">
        <v>30</v>
      </c>
      <c r="F2" s="438">
        <f>MONTH(TODAY())-1&amp;" YTD"</f>
      </c>
      <c r="G2" s="437" t="s">
        <v>30</v>
      </c>
      <c r="H2" s="3"/>
      <c r="I2" s="120">
        <v>1</v>
      </c>
      <c r="J2" s="120">
        <v>2</v>
      </c>
      <c r="K2" s="120">
        <v>3</v>
      </c>
      <c r="L2" s="120">
        <v>4</v>
      </c>
      <c r="M2" s="120">
        <v>5</v>
      </c>
      <c r="N2" s="120">
        <v>6</v>
      </c>
      <c r="O2" s="120">
        <v>7</v>
      </c>
      <c r="P2" s="120">
        <v>8</v>
      </c>
      <c r="Q2" s="120">
        <v>9</v>
      </c>
      <c r="R2" s="120">
        <v>10</v>
      </c>
      <c r="S2" s="120">
        <v>11</v>
      </c>
      <c r="T2" s="120">
        <v>12</v>
      </c>
      <c r="U2" s="3"/>
      <c r="V2" s="120">
        <v>2</v>
      </c>
      <c r="W2" s="120">
        <v>3</v>
      </c>
      <c r="X2" s="120">
        <v>4</v>
      </c>
      <c r="Y2" s="120">
        <v>5</v>
      </c>
      <c r="Z2" s="120">
        <v>6</v>
      </c>
      <c r="AA2" s="120">
        <v>7</v>
      </c>
      <c r="AB2" s="120">
        <v>8</v>
      </c>
      <c r="AC2" s="120">
        <v>9</v>
      </c>
      <c r="AD2" s="120">
        <v>10</v>
      </c>
      <c r="AE2" s="120">
        <v>11</v>
      </c>
      <c r="AF2" s="120">
        <v>12</v>
      </c>
      <c r="AG2" s="66"/>
      <c r="AH2" s="438">
        <f>MONTH(TODAY())-1&amp;" YTD"</f>
      </c>
      <c r="AI2" s="438">
        <f>MONTH(TODAY())-1&amp;" YTD"</f>
      </c>
      <c r="AJ2" s="438">
        <f>MONTH(TODAY())-1&amp;" YTD"</f>
      </c>
      <c r="AK2" s="3"/>
      <c r="AL2" s="439" t="s">
        <v>30</v>
      </c>
      <c r="AM2" s="439" t="s">
        <v>30</v>
      </c>
      <c r="AN2" s="3"/>
      <c r="AO2" s="3"/>
      <c r="AP2" s="3"/>
      <c r="AQ2" s="3"/>
      <c r="AR2" s="3"/>
      <c r="AS2" s="3"/>
      <c r="AT2" s="3"/>
      <c r="AU2" s="3"/>
    </row>
    <row x14ac:dyDescent="0.25" r="3" customHeight="1" ht="19.5" hidden="1">
      <c r="A3" s="3"/>
      <c r="B3" s="195" t="s">
        <v>512</v>
      </c>
      <c r="C3" s="3"/>
      <c r="D3" s="3"/>
      <c r="E3" s="437">
        <v>12</v>
      </c>
      <c r="F3" s="438">
        <f>LEFT(F$2,2)*1</f>
      </c>
      <c r="G3" s="437">
        <v>12</v>
      </c>
      <c r="H3" s="3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66"/>
      <c r="AH3" s="120"/>
      <c r="AI3" s="120"/>
      <c r="AJ3" s="440"/>
      <c r="AK3" s="3"/>
      <c r="AL3" s="487"/>
      <c r="AM3" s="120"/>
      <c r="AN3" s="3"/>
      <c r="AO3" s="3"/>
      <c r="AP3" s="3"/>
      <c r="AQ3" s="3"/>
      <c r="AR3" s="3"/>
      <c r="AS3" s="3"/>
      <c r="AT3" s="3"/>
      <c r="AU3" s="3"/>
    </row>
    <row x14ac:dyDescent="0.25" r="4" customHeight="1" ht="19.5">
      <c r="A4" s="3"/>
      <c r="B4" s="3"/>
      <c r="C4" s="3"/>
      <c r="D4" s="3"/>
      <c r="E4" s="8"/>
      <c r="F4" s="440"/>
      <c r="G4" s="8"/>
      <c r="H4" s="3"/>
      <c r="I4" s="487"/>
      <c r="J4" s="487"/>
      <c r="K4" s="487"/>
      <c r="L4" s="487"/>
      <c r="M4" s="440"/>
      <c r="N4" s="440"/>
      <c r="O4" s="440"/>
      <c r="P4" s="440"/>
      <c r="Q4" s="440"/>
      <c r="R4" s="440"/>
      <c r="S4" s="440"/>
      <c r="T4" s="440"/>
      <c r="U4" s="3"/>
      <c r="V4" s="440"/>
      <c r="W4" s="440"/>
      <c r="X4" s="440"/>
      <c r="Y4" s="440"/>
      <c r="Z4" s="440"/>
      <c r="AA4" s="440"/>
      <c r="AB4" s="440"/>
      <c r="AC4" s="440"/>
      <c r="AD4" s="440"/>
      <c r="AE4" s="440"/>
      <c r="AF4" s="440"/>
      <c r="AG4" s="440"/>
      <c r="AH4" s="440"/>
      <c r="AI4" s="440"/>
      <c r="AJ4" s="440"/>
      <c r="AK4" s="3"/>
      <c r="AL4" s="487"/>
      <c r="AM4" s="487"/>
      <c r="AN4" s="3"/>
      <c r="AO4" s="3"/>
      <c r="AP4" s="3"/>
      <c r="AQ4" s="3"/>
      <c r="AR4" s="3"/>
      <c r="AS4" s="3"/>
      <c r="AT4" s="3"/>
      <c r="AU4" s="3"/>
    </row>
    <row x14ac:dyDescent="0.25" r="5" customHeight="1" ht="19.5">
      <c r="A5" s="3"/>
      <c r="B5" s="444">
        <f>YEAR(TODAY())</f>
        <v>25569.041666666668</v>
      </c>
      <c r="C5" s="444">
        <f>MONTH(TODAY())</f>
        <v>25569.041666666668</v>
      </c>
      <c r="D5" s="3"/>
      <c r="E5" s="8"/>
      <c r="F5" s="440"/>
      <c r="G5" s="8"/>
      <c r="H5" s="3"/>
      <c r="I5" s="487"/>
      <c r="J5" s="487"/>
      <c r="K5" s="487"/>
      <c r="L5" s="487"/>
      <c r="M5" s="440"/>
      <c r="N5" s="440"/>
      <c r="O5" s="440"/>
      <c r="P5" s="440"/>
      <c r="Q5" s="440"/>
      <c r="R5" s="440"/>
      <c r="S5" s="440"/>
      <c r="T5" s="440"/>
      <c r="U5" s="3"/>
      <c r="V5" s="440"/>
      <c r="W5" s="440"/>
      <c r="X5" s="440"/>
      <c r="Y5" s="440"/>
      <c r="Z5" s="440"/>
      <c r="AA5" s="440"/>
      <c r="AB5" s="440"/>
      <c r="AC5" s="440"/>
      <c r="AD5" s="440"/>
      <c r="AE5" s="440"/>
      <c r="AF5" s="440"/>
      <c r="AG5" s="440"/>
      <c r="AH5" s="440"/>
      <c r="AI5" s="440"/>
      <c r="AJ5" s="440"/>
      <c r="AK5" s="3"/>
      <c r="AL5" s="487"/>
      <c r="AM5" s="487"/>
      <c r="AN5" s="3"/>
      <c r="AO5" s="3"/>
      <c r="AP5" s="3"/>
      <c r="AQ5" s="3"/>
      <c r="AR5" s="3"/>
      <c r="AS5" s="3"/>
      <c r="AT5" s="3"/>
      <c r="AU5" s="3"/>
    </row>
    <row x14ac:dyDescent="0.25" r="6" customHeight="1" ht="19.5">
      <c r="A6" s="3"/>
      <c r="B6" s="30"/>
      <c r="C6" s="30"/>
      <c r="D6" s="3"/>
      <c r="E6" s="445" t="s">
        <v>514</v>
      </c>
      <c r="F6" s="448" t="s">
        <v>575</v>
      </c>
      <c r="G6" s="447" t="s">
        <v>575</v>
      </c>
      <c r="H6" s="3"/>
      <c r="I6" s="448">
        <f>TEXT(I$2,"00")&amp;" "&amp;I$1</f>
      </c>
      <c r="J6" s="448">
        <f>TEXT(J$2,"00")&amp;" "&amp;J$1</f>
      </c>
      <c r="K6" s="448">
        <f>TEXT(K$2,"00")&amp;" "&amp;K$1</f>
      </c>
      <c r="L6" s="448">
        <f>TEXT(L$2,"00")&amp;" "&amp;L$1</f>
      </c>
      <c r="M6" s="448">
        <f>TEXT(M$2,"00")&amp;" "&amp;M$1</f>
      </c>
      <c r="N6" s="448">
        <f>TEXT(N$2,"00")&amp;" "&amp;N$1</f>
      </c>
      <c r="O6" s="448">
        <f>TEXT(O$2,"00")&amp;" "&amp;O$1</f>
      </c>
      <c r="P6" s="448">
        <f>TEXT(P$2,"00")&amp;" "&amp;P$1</f>
      </c>
      <c r="Q6" s="448">
        <f>TEXT(Q$2,"00")&amp;" "&amp;Q$1</f>
      </c>
      <c r="R6" s="448">
        <f>TEXT(R$2,"00")&amp;" "&amp;R$1</f>
      </c>
      <c r="S6" s="448">
        <f>TEXT(S$2,"00")&amp;" "&amp;S$1</f>
      </c>
      <c r="T6" s="448">
        <f>TEXT(T$2,"00")&amp;" "&amp;T$1</f>
      </c>
      <c r="U6" s="3"/>
      <c r="V6" s="488">
        <f>TEXT(V$2,"00")&amp;" "&amp;V$1</f>
      </c>
      <c r="W6" s="488">
        <f>TEXT(W$2,"00")&amp;" "&amp;W$1</f>
      </c>
      <c r="X6" s="488">
        <f>TEXT(X$2,"00")&amp;" "&amp;X$1</f>
      </c>
      <c r="Y6" s="488">
        <f>TEXT(Y$2,"00")&amp;" "&amp;Y$1</f>
      </c>
      <c r="Z6" s="488">
        <f>TEXT(Z$2,"00")&amp;" "&amp;Z$1</f>
      </c>
      <c r="AA6" s="488">
        <f>TEXT(AA$2,"00")&amp;" "&amp;AA$1</f>
      </c>
      <c r="AB6" s="488">
        <f>TEXT(AB$2,"00")&amp;" "&amp;AB$1</f>
      </c>
      <c r="AC6" s="488">
        <f>TEXT(AC$2,"00")&amp;" "&amp;AC$1</f>
      </c>
      <c r="AD6" s="488">
        <f>TEXT(AD$2,"00")&amp;" "&amp;AD$1</f>
      </c>
      <c r="AE6" s="488">
        <f>TEXT(AE$2,"00")&amp;" "&amp;AE$1</f>
      </c>
      <c r="AF6" s="488">
        <f>TEXT(AF$2,"00")&amp;" "&amp;AF$1</f>
      </c>
      <c r="AG6" s="453"/>
      <c r="AH6" s="448">
        <f>AH$2&amp;" "&amp;AH$1</f>
      </c>
      <c r="AI6" s="454">
        <f>AI$2&amp;" "&amp;AI$1</f>
      </c>
      <c r="AJ6" s="455">
        <f>AJ$2&amp;" "&amp;AJ$1</f>
      </c>
      <c r="AK6" s="3"/>
      <c r="AL6" s="456">
        <f>AL$2&amp;" "&amp;AL$1</f>
      </c>
      <c r="AM6" s="454">
        <f>AM$2&amp;" "&amp;AM$1</f>
      </c>
      <c r="AN6" s="3"/>
      <c r="AO6" s="3"/>
      <c r="AP6" s="3"/>
      <c r="AQ6" s="3"/>
      <c r="AR6" s="3"/>
      <c r="AS6" s="3"/>
      <c r="AT6" s="3"/>
      <c r="AU6" s="3"/>
    </row>
    <row x14ac:dyDescent="0.25" r="7" customHeight="1" ht="19.5">
      <c r="A7" s="3"/>
      <c r="B7" s="3"/>
      <c r="C7" s="30" t="s">
        <v>527</v>
      </c>
      <c r="D7" s="3"/>
      <c r="E7" s="445" t="s">
        <v>40</v>
      </c>
      <c r="F7" s="448" t="s">
        <v>40</v>
      </c>
      <c r="G7" s="447" t="s">
        <v>441</v>
      </c>
      <c r="H7" s="3"/>
      <c r="I7" s="450" t="s">
        <v>40</v>
      </c>
      <c r="J7" s="450" t="s">
        <v>40</v>
      </c>
      <c r="K7" s="450" t="s">
        <v>40</v>
      </c>
      <c r="L7" s="450" t="s">
        <v>40</v>
      </c>
      <c r="M7" s="448" t="s">
        <v>40</v>
      </c>
      <c r="N7" s="449" t="s">
        <v>40</v>
      </c>
      <c r="O7" s="449" t="s">
        <v>40</v>
      </c>
      <c r="P7" s="449" t="s">
        <v>40</v>
      </c>
      <c r="Q7" s="449" t="s">
        <v>40</v>
      </c>
      <c r="R7" s="449" t="s">
        <v>40</v>
      </c>
      <c r="S7" s="449" t="s">
        <v>40</v>
      </c>
      <c r="T7" s="449" t="s">
        <v>40</v>
      </c>
      <c r="U7" s="3"/>
      <c r="V7" s="452" t="s">
        <v>528</v>
      </c>
      <c r="W7" s="452" t="s">
        <v>528</v>
      </c>
      <c r="X7" s="452" t="s">
        <v>528</v>
      </c>
      <c r="Y7" s="452" t="s">
        <v>528</v>
      </c>
      <c r="Z7" s="452" t="s">
        <v>528</v>
      </c>
      <c r="AA7" s="452" t="s">
        <v>528</v>
      </c>
      <c r="AB7" s="452" t="s">
        <v>528</v>
      </c>
      <c r="AC7" s="452" t="s">
        <v>528</v>
      </c>
      <c r="AD7" s="452" t="s">
        <v>528</v>
      </c>
      <c r="AE7" s="452" t="s">
        <v>528</v>
      </c>
      <c r="AF7" s="452" t="s">
        <v>528</v>
      </c>
      <c r="AG7" s="453"/>
      <c r="AH7" s="448" t="s">
        <v>529</v>
      </c>
      <c r="AI7" s="454" t="s">
        <v>530</v>
      </c>
      <c r="AJ7" s="455" t="s">
        <v>531</v>
      </c>
      <c r="AK7" s="3"/>
      <c r="AL7" s="457" t="s">
        <v>529</v>
      </c>
      <c r="AM7" s="458" t="s">
        <v>530</v>
      </c>
      <c r="AN7" s="3"/>
      <c r="AO7" s="3"/>
      <c r="AP7" s="3"/>
      <c r="AQ7" s="3"/>
      <c r="AR7" s="3"/>
      <c r="AS7" s="3"/>
      <c r="AT7" s="3"/>
      <c r="AU7" s="3"/>
    </row>
    <row x14ac:dyDescent="0.25" r="8" customHeight="1" ht="19.5">
      <c r="A8" s="3"/>
      <c r="B8" s="478" t="s">
        <v>576</v>
      </c>
      <c r="C8" s="66"/>
      <c r="D8" s="3"/>
      <c r="E8" s="460"/>
      <c r="F8" s="460"/>
      <c r="G8" s="461"/>
      <c r="H8" s="3"/>
      <c r="I8" s="461"/>
      <c r="J8" s="461"/>
      <c r="K8" s="461"/>
      <c r="L8" s="461"/>
      <c r="M8" s="461"/>
      <c r="N8" s="460"/>
      <c r="O8" s="460"/>
      <c r="P8" s="460"/>
      <c r="Q8" s="460"/>
      <c r="R8" s="460"/>
      <c r="S8" s="460"/>
      <c r="T8" s="460"/>
      <c r="U8" s="3"/>
      <c r="V8" s="489"/>
      <c r="W8" s="489"/>
      <c r="X8" s="489"/>
      <c r="Y8" s="460"/>
      <c r="Z8" s="460"/>
      <c r="AA8" s="460"/>
      <c r="AB8" s="460"/>
      <c r="AC8" s="460"/>
      <c r="AD8" s="460"/>
      <c r="AE8" s="460"/>
      <c r="AF8" s="462"/>
      <c r="AG8" s="462"/>
      <c r="AH8" s="463"/>
      <c r="AI8" s="464"/>
      <c r="AJ8" s="440"/>
      <c r="AK8" s="3"/>
      <c r="AL8" s="463"/>
      <c r="AM8" s="465"/>
      <c r="AN8" s="3"/>
      <c r="AO8" s="3"/>
      <c r="AP8" s="3"/>
      <c r="AQ8" s="3"/>
      <c r="AR8" s="3"/>
      <c r="AS8" s="3"/>
      <c r="AT8" s="3"/>
      <c r="AU8" s="3"/>
    </row>
    <row x14ac:dyDescent="0.25" r="9" customHeight="1" ht="19.5">
      <c r="A9" s="33" t="s">
        <v>305</v>
      </c>
      <c r="B9" s="33" t="s">
        <v>577</v>
      </c>
      <c r="C9" s="195" t="s">
        <v>535</v>
      </c>
      <c r="D9" s="3"/>
      <c r="E9" s="466">
        <f>$AL9/E$3</f>
      </c>
      <c r="F9" s="466">
        <f>IFERROR(1/F$3,1)*SUMIFS(Data!$S$3:$S$137,Data!$O$3:$O$137,F$1,Data!$P$3:$P$137,IF(RIGHT(F$2,3)="YTD","&lt;="&amp;LEFT(F$2,2)*1,F$2),Data!$K$3:$K$137,$B9)</f>
      </c>
      <c r="G9" s="466">
        <f>AM9/12</f>
      </c>
      <c r="H9" s="3"/>
      <c r="I9" s="466">
        <f>IFERROR(1/I$3,1)*SUMIFS(tbl_DCFC[C Montant &amp;#8364; HT],tbl_DCFC[OI_Year],I$1,tbl_DCFC[OI_Month],IF(RIGHT(I$2,3)="YTD","&lt;="&amp;LEFT(I$2,2)*1,I$2),tbl_DCFC[BU_Key],$A9)</f>
      </c>
      <c r="J9" s="466">
        <f>IFERROR(1/J$3,1)*SUMIFS(tbl_DCFC[C Montant &amp;#8364; HT],tbl_DCFC[OI_Year],J$1,tbl_DCFC[OI_Month],IF(RIGHT(J$2,3)="YTD","&lt;="&amp;LEFT(J$2,2)*1,J$2),tbl_DCFC[BU_Key],$A9)</f>
      </c>
      <c r="K9" s="466">
        <f>IFERROR(1/K$3,1)*SUMIFS(tbl_DCFC[C Montant &amp;#8364; HT],tbl_DCFC[OI_Year],K$1,tbl_DCFC[OI_Month],IF(RIGHT(K$2,3)="YTD","&lt;="&amp;LEFT(K$2,2)*1,K$2),tbl_DCFC[BU_Key],$A9)</f>
      </c>
      <c r="L9" s="466">
        <f>IFERROR(1/L$3,1)*SUMIFS(tbl_DCFC[C Montant &amp;#8364; HT],tbl_DCFC[OI_Year],L$1,tbl_DCFC[OI_Month],IF(RIGHT(L$2,3)="YTD","&lt;="&amp;LEFT(L$2,2)*1,L$2),tbl_DCFC[BU_Key],$A9)</f>
      </c>
      <c r="M9" s="466">
        <f>IFERROR(1/M$3,1)*SUMIFS(tbl_DCFC[C Montant &amp;#8364; HT],tbl_DCFC[OI_Year],M$1,tbl_DCFC[OI_Month],IF(RIGHT(M$2,3)="YTD","&lt;="&amp;LEFT(M$2,2)*1,M$2),tbl_DCFC[BU_Key],$A9)</f>
      </c>
      <c r="N9" s="466">
        <f>IFERROR(1/N$3,1)*SUMIFS(tbl_DCFC[C Montant &amp;#8364; HT],tbl_DCFC[OI_Year],N$1,tbl_DCFC[OI_Month],IF(RIGHT(N$2,3)="YTD","&lt;="&amp;LEFT(N$2,2)*1,N$2),tbl_DCFC[BU_Key],$A9)</f>
      </c>
      <c r="O9" s="466">
        <f>IFERROR(1/O$3,1)*SUMIFS(tbl_DCFC[C Montant &amp;#8364; HT],tbl_DCFC[OI_Year],O$1,tbl_DCFC[OI_Month],IF(RIGHT(O$2,3)="YTD","&lt;="&amp;LEFT(O$2,2)*1,O$2),tbl_DCFC[BU_Key],$A9)</f>
      </c>
      <c r="P9" s="466">
        <f>IFERROR(1/P$3,1)*SUMIFS(tbl_DCFC[C Montant &amp;#8364; HT],tbl_DCFC[OI_Year],P$1,tbl_DCFC[OI_Month],IF(RIGHT(P$2,3)="YTD","&lt;="&amp;LEFT(P$2,2)*1,P$2),tbl_DCFC[BU_Key],$A9)</f>
      </c>
      <c r="Q9" s="466">
        <f>IFERROR(1/Q$3,1)*SUMIFS(tbl_DCFC[C Montant &amp;#8364; HT],tbl_DCFC[OI_Year],Q$1,tbl_DCFC[OI_Month],IF(RIGHT(Q$2,3)="YTD","&lt;="&amp;LEFT(Q$2,2)*1,Q$2),tbl_DCFC[BU_Key],$A9)</f>
      </c>
      <c r="R9" s="466">
        <f>IFERROR(1/R$3,1)*SUMIFS(tbl_DCFC[C Montant &amp;#8364; HT],tbl_DCFC[OI_Year],R$1,tbl_DCFC[OI_Month],IF(RIGHT(R$2,3)="YTD","&lt;="&amp;LEFT(R$2,2)*1,R$2),tbl_DCFC[BU_Key],$A9)</f>
      </c>
      <c r="S9" s="466">
        <f>IFERROR(1/S$3,1)*SUMIFS(tbl_DCFC[C Montant &amp;#8364; HT],tbl_DCFC[OI_Year],S$1,tbl_DCFC[OI_Month],IF(RIGHT(S$2,3)="YTD","&lt;="&amp;LEFT(S$2,2)*1,S$2),tbl_DCFC[BU_Key],$A9)</f>
      </c>
      <c r="T9" s="466">
        <f>IFERROR(1/T$3,1)*SUMIFS(tbl_DCFC[C Montant &amp;#8364; HT],tbl_DCFC[OI_Year],T$1,tbl_DCFC[OI_Month],IF(RIGHT(T$2,3)="YTD","&lt;="&amp;LEFT(T$2,2)*1,T$2),tbl_DCFC[BU_Key],$A9)</f>
      </c>
      <c r="U9" s="3"/>
      <c r="V9" s="466">
        <f>E9</f>
      </c>
      <c r="W9" s="466">
        <f>F9</f>
      </c>
      <c r="X9" s="466">
        <f>G9</f>
      </c>
      <c r="Y9" s="466">
        <f>$G9</f>
      </c>
      <c r="Z9" s="466">
        <f>$G9</f>
      </c>
      <c r="AA9" s="466">
        <f>$G9</f>
      </c>
      <c r="AB9" s="466">
        <f>$G9</f>
      </c>
      <c r="AC9" s="466">
        <f>$G9</f>
      </c>
      <c r="AD9" s="466">
        <f>$G9</f>
      </c>
      <c r="AE9" s="466">
        <f>$G9</f>
      </c>
      <c r="AF9" s="466">
        <f>$G9</f>
      </c>
      <c r="AG9" s="466"/>
      <c r="AH9" s="466">
        <f>IFERROR(1/AH$3,1)*SUMIFS(tbl_DCFC[C Montant &amp;#8364; HT],tbl_DCFC[OI_Year],AH$1,tbl_DCFC[OI_Month],IF(RIGHT(AH$2,3)="YTD","&lt;="&amp;LEFT(AH$2,2)*1,AH$2),tbl_DCFC[BU_Key],$A9)</f>
      </c>
      <c r="AI9" s="466">
        <f>AM9/12*LEFT(AI$2,2)*1</f>
      </c>
      <c r="AJ9" s="467">
        <f>AH9-AI9</f>
      </c>
      <c r="AK9" s="3"/>
      <c r="AL9" s="466">
        <f>IFERROR(1/AL$3,1)*SUMIFS(tbl_DCFC[C Montant &amp;#8364; HT],tbl_DCFC[OI_Year],AL$1,tbl_DCFC[OI_Month],IF(RIGHT(AL$2,3)="YTD","&lt;="&amp;LEFT(AL$2,2)*1,AL$2),tbl_DCFC[BU_Key],$A9)</f>
      </c>
      <c r="AM9" s="466">
        <v>0</v>
      </c>
      <c r="AN9" s="3"/>
      <c r="AO9" s="3"/>
      <c r="AP9" s="3"/>
      <c r="AQ9" s="3"/>
      <c r="AR9" s="3"/>
      <c r="AS9" s="3"/>
      <c r="AT9" s="3"/>
      <c r="AU9" s="3"/>
    </row>
    <row x14ac:dyDescent="0.25" r="10" customHeight="1" ht="19.5">
      <c r="A10" s="3" t="s">
        <v>578</v>
      </c>
      <c r="B10" s="33" t="s">
        <v>579</v>
      </c>
      <c r="C10" s="195" t="s">
        <v>535</v>
      </c>
      <c r="D10" s="3"/>
      <c r="E10" s="466">
        <f>$AL10/E$3</f>
      </c>
      <c r="F10" s="466">
        <f>IFERROR(1/F$3,1)*SUMIFS(Data!$S$3:$S$137,Data!$O$3:$O$137,F$1,Data!$P$3:$P$137,IF(RIGHT(F$2,3)="YTD","&lt;="&amp;LEFT(F$2,2)*1,F$2),Data!$K$3:$K$137,$B10)</f>
      </c>
      <c r="G10" s="466">
        <f>AM10/12</f>
      </c>
      <c r="H10" s="3"/>
      <c r="I10" s="466">
        <f>IFERROR(1/I$3,1)*SUMIFS(tbl_DCFC[C Montant &amp;#8364; HT],tbl_DCFC[OI_Year],I$1,tbl_DCFC[OI_Month],IF(RIGHT(I$2,3)="YTD","&lt;="&amp;LEFT(I$2,2)*1,I$2),tbl_DCFC[BU_Key],$A10)</f>
      </c>
      <c r="J10" s="466">
        <f>IFERROR(1/J$3,1)*SUMIFS(tbl_DCFC[C Montant &amp;#8364; HT],tbl_DCFC[OI_Year],J$1,tbl_DCFC[OI_Month],IF(RIGHT(J$2,3)="YTD","&lt;="&amp;LEFT(J$2,2)*1,J$2),tbl_DCFC[BU_Key],$A10)</f>
      </c>
      <c r="K10" s="466">
        <f>IFERROR(1/K$3,1)*SUMIFS(tbl_DCFC[C Montant &amp;#8364; HT],tbl_DCFC[OI_Year],K$1,tbl_DCFC[OI_Month],IF(RIGHT(K$2,3)="YTD","&lt;="&amp;LEFT(K$2,2)*1,K$2),tbl_DCFC[BU_Key],$A10)</f>
      </c>
      <c r="L10" s="466">
        <f>IFERROR(1/L$3,1)*SUMIFS(tbl_DCFC[C Montant &amp;#8364; HT],tbl_DCFC[OI_Year],L$1,tbl_DCFC[OI_Month],IF(RIGHT(L$2,3)="YTD","&lt;="&amp;LEFT(L$2,2)*1,L$2),tbl_DCFC[BU_Key],$A10)</f>
      </c>
      <c r="M10" s="466">
        <f>IFERROR(1/M$3,1)*SUMIFS(tbl_DCFC[C Montant &amp;#8364; HT],tbl_DCFC[OI_Year],M$1,tbl_DCFC[OI_Month],IF(RIGHT(M$2,3)="YTD","&lt;="&amp;LEFT(M$2,2)*1,M$2),tbl_DCFC[BU_Key],$A10)</f>
      </c>
      <c r="N10" s="466">
        <f>IFERROR(1/N$3,1)*SUMIFS(tbl_DCFC[C Montant &amp;#8364; HT],tbl_DCFC[OI_Year],N$1,tbl_DCFC[OI_Month],IF(RIGHT(N$2,3)="YTD","&lt;="&amp;LEFT(N$2,2)*1,N$2),tbl_DCFC[BU_Key],$A10)</f>
      </c>
      <c r="O10" s="466">
        <f>IFERROR(1/O$3,1)*SUMIFS(tbl_DCFC[C Montant &amp;#8364; HT],tbl_DCFC[OI_Year],O$1,tbl_DCFC[OI_Month],IF(RIGHT(O$2,3)="YTD","&lt;="&amp;LEFT(O$2,2)*1,O$2),tbl_DCFC[BU_Key],$A10)</f>
      </c>
      <c r="P10" s="466">
        <f>IFERROR(1/P$3,1)*SUMIFS(tbl_DCFC[C Montant &amp;#8364; HT],tbl_DCFC[OI_Year],P$1,tbl_DCFC[OI_Month],IF(RIGHT(P$2,3)="YTD","&lt;="&amp;LEFT(P$2,2)*1,P$2),tbl_DCFC[BU_Key],$A10)</f>
      </c>
      <c r="Q10" s="466">
        <f>IFERROR(1/Q$3,1)*SUMIFS(tbl_DCFC[C Montant &amp;#8364; HT],tbl_DCFC[OI_Year],Q$1,tbl_DCFC[OI_Month],IF(RIGHT(Q$2,3)="YTD","&lt;="&amp;LEFT(Q$2,2)*1,Q$2),tbl_DCFC[BU_Key],$A10)</f>
      </c>
      <c r="R10" s="466">
        <f>IFERROR(1/R$3,1)*SUMIFS(tbl_DCFC[C Montant &amp;#8364; HT],tbl_DCFC[OI_Year],R$1,tbl_DCFC[OI_Month],IF(RIGHT(R$2,3)="YTD","&lt;="&amp;LEFT(R$2,2)*1,R$2),tbl_DCFC[BU_Key],$A10)</f>
      </c>
      <c r="S10" s="466">
        <f>IFERROR(1/S$3,1)*SUMIFS(tbl_DCFC[C Montant &amp;#8364; HT],tbl_DCFC[OI_Year],S$1,tbl_DCFC[OI_Month],IF(RIGHT(S$2,3)="YTD","&lt;="&amp;LEFT(S$2,2)*1,S$2),tbl_DCFC[BU_Key],$A10)</f>
      </c>
      <c r="T10" s="466">
        <f>IFERROR(1/T$3,1)*SUMIFS(tbl_DCFC[C Montant &amp;#8364; HT],tbl_DCFC[OI_Year],T$1,tbl_DCFC[OI_Month],IF(RIGHT(T$2,3)="YTD","&lt;="&amp;LEFT(T$2,2)*1,T$2),tbl_DCFC[BU_Key],$A10)</f>
      </c>
      <c r="U10" s="3"/>
      <c r="V10" s="466">
        <f>E10</f>
      </c>
      <c r="W10" s="466">
        <f>F10</f>
      </c>
      <c r="X10" s="466">
        <f>G10</f>
      </c>
      <c r="Y10" s="466">
        <f>$G10</f>
      </c>
      <c r="Z10" s="466">
        <f>$G10</f>
      </c>
      <c r="AA10" s="466">
        <f>$G10</f>
      </c>
      <c r="AB10" s="466">
        <f>$G10</f>
      </c>
      <c r="AC10" s="466">
        <f>$G10</f>
      </c>
      <c r="AD10" s="466">
        <f>$G10</f>
      </c>
      <c r="AE10" s="466">
        <f>$G10</f>
      </c>
      <c r="AF10" s="466">
        <f>$G10</f>
      </c>
      <c r="AG10" s="466"/>
      <c r="AH10" s="466">
        <f>IFERROR(1/AH$3,1)*SUMIFS(tbl_DCFC[C Montant &amp;#8364; HT],tbl_DCFC[OI_Year],AH$1,tbl_DCFC[OI_Month],IF(RIGHT(AH$2,3)="YTD","&lt;="&amp;LEFT(AH$2,2)*1,AH$2),tbl_DCFC[BU_Key],$A10)</f>
      </c>
      <c r="AI10" s="466">
        <f>AM10/12*LEFT(AI$2,2)*1</f>
      </c>
      <c r="AJ10" s="467">
        <f>AH10-AI10</f>
      </c>
      <c r="AK10" s="3"/>
      <c r="AL10" s="466">
        <f>IFERROR(1/AL$3,1)*SUMIFS(tbl_DCFC[C Montant &amp;#8364; HT],tbl_DCFC[OI_Year],AL$1,tbl_DCFC[OI_Month],IF(RIGHT(AL$2,3)="YTD","&lt;="&amp;LEFT(AL$2,2)*1,AL$2),tbl_DCFC[BU_Key],$A10)</f>
      </c>
      <c r="AM10" s="466">
        <v>0</v>
      </c>
      <c r="AN10" s="3"/>
      <c r="AO10" s="3"/>
      <c r="AP10" s="3"/>
      <c r="AQ10" s="3"/>
      <c r="AR10" s="3"/>
      <c r="AS10" s="3"/>
      <c r="AT10" s="3"/>
      <c r="AU10" s="3"/>
    </row>
    <row x14ac:dyDescent="0.25" r="11" customHeight="1" ht="19.5">
      <c r="A11" s="33" t="s">
        <v>580</v>
      </c>
      <c r="B11" s="33" t="s">
        <v>581</v>
      </c>
      <c r="C11" s="195" t="s">
        <v>535</v>
      </c>
      <c r="D11" s="3"/>
      <c r="E11" s="466">
        <f>$AL11/E$3</f>
      </c>
      <c r="F11" s="466">
        <f>IFERROR(1/F$3,1)*SUMIFS(Data!$S$3:$S$137,Data!$O$3:$O$137,F$1,Data!$P$3:$P$137,IF(RIGHT(F$2,3)="YTD","&lt;="&amp;LEFT(F$2,2)*1,F$2),Data!$K$3:$K$137,$B11)</f>
      </c>
      <c r="G11" s="466">
        <f>AM11/12</f>
      </c>
      <c r="H11" s="3"/>
      <c r="I11" s="466">
        <f>IFERROR(1/I$3,1)*SUMIFS(tbl_DCFC[C Montant &amp;#8364; HT],tbl_DCFC[OI_Year],I$1,tbl_DCFC[OI_Month],IF(RIGHT(I$2,3)="YTD","&lt;="&amp;LEFT(I$2,2)*1,I$2),tbl_DCFC[BU_Key],$A11)</f>
      </c>
      <c r="J11" s="466">
        <f>IFERROR(1/J$3,1)*SUMIFS(tbl_DCFC[C Montant &amp;#8364; HT],tbl_DCFC[OI_Year],J$1,tbl_DCFC[OI_Month],IF(RIGHT(J$2,3)="YTD","&lt;="&amp;LEFT(J$2,2)*1,J$2),tbl_DCFC[BU_Key],$A11)</f>
      </c>
      <c r="K11" s="466">
        <f>IFERROR(1/K$3,1)*SUMIFS(tbl_DCFC[C Montant &amp;#8364; HT],tbl_DCFC[OI_Year],K$1,tbl_DCFC[OI_Month],IF(RIGHT(K$2,3)="YTD","&lt;="&amp;LEFT(K$2,2)*1,K$2),tbl_DCFC[BU_Key],$A11)</f>
      </c>
      <c r="L11" s="466">
        <f>IFERROR(1/L$3,1)*SUMIFS(tbl_DCFC[C Montant &amp;#8364; HT],tbl_DCFC[OI_Year],L$1,tbl_DCFC[OI_Month],IF(RIGHT(L$2,3)="YTD","&lt;="&amp;LEFT(L$2,2)*1,L$2),tbl_DCFC[BU_Key],$A11)</f>
      </c>
      <c r="M11" s="466">
        <f>IFERROR(1/M$3,1)*SUMIFS(tbl_DCFC[C Montant &amp;#8364; HT],tbl_DCFC[OI_Year],M$1,tbl_DCFC[OI_Month],IF(RIGHT(M$2,3)="YTD","&lt;="&amp;LEFT(M$2,2)*1,M$2),tbl_DCFC[BU_Key],$A11)</f>
      </c>
      <c r="N11" s="466">
        <f>IFERROR(1/N$3,1)*SUMIFS(tbl_DCFC[C Montant &amp;#8364; HT],tbl_DCFC[OI_Year],N$1,tbl_DCFC[OI_Month],IF(RIGHT(N$2,3)="YTD","&lt;="&amp;LEFT(N$2,2)*1,N$2),tbl_DCFC[BU_Key],$A11)</f>
      </c>
      <c r="O11" s="466">
        <f>IFERROR(1/O$3,1)*SUMIFS(tbl_DCFC[C Montant &amp;#8364; HT],tbl_DCFC[OI_Year],O$1,tbl_DCFC[OI_Month],IF(RIGHT(O$2,3)="YTD","&lt;="&amp;LEFT(O$2,2)*1,O$2),tbl_DCFC[BU_Key],$A11)</f>
      </c>
      <c r="P11" s="466">
        <f>IFERROR(1/P$3,1)*SUMIFS(tbl_DCFC[C Montant &amp;#8364; HT],tbl_DCFC[OI_Year],P$1,tbl_DCFC[OI_Month],IF(RIGHT(P$2,3)="YTD","&lt;="&amp;LEFT(P$2,2)*1,P$2),tbl_DCFC[BU_Key],$A11)</f>
      </c>
      <c r="Q11" s="466">
        <f>IFERROR(1/Q$3,1)*SUMIFS(tbl_DCFC[C Montant &amp;#8364; HT],tbl_DCFC[OI_Year],Q$1,tbl_DCFC[OI_Month],IF(RIGHT(Q$2,3)="YTD","&lt;="&amp;LEFT(Q$2,2)*1,Q$2),tbl_DCFC[BU_Key],$A11)</f>
      </c>
      <c r="R11" s="466">
        <f>IFERROR(1/R$3,1)*SUMIFS(tbl_DCFC[C Montant &amp;#8364; HT],tbl_DCFC[OI_Year],R$1,tbl_DCFC[OI_Month],IF(RIGHT(R$2,3)="YTD","&lt;="&amp;LEFT(R$2,2)*1,R$2),tbl_DCFC[BU_Key],$A11)</f>
      </c>
      <c r="S11" s="466">
        <f>IFERROR(1/S$3,1)*SUMIFS(tbl_DCFC[C Montant &amp;#8364; HT],tbl_DCFC[OI_Year],S$1,tbl_DCFC[OI_Month],IF(RIGHT(S$2,3)="YTD","&lt;="&amp;LEFT(S$2,2)*1,S$2),tbl_DCFC[BU_Key],$A11)</f>
      </c>
      <c r="T11" s="466">
        <f>IFERROR(1/T$3,1)*SUMIFS(tbl_DCFC[C Montant &amp;#8364; HT],tbl_DCFC[OI_Year],T$1,tbl_DCFC[OI_Month],IF(RIGHT(T$2,3)="YTD","&lt;="&amp;LEFT(T$2,2)*1,T$2),tbl_DCFC[BU_Key],$A11)</f>
      </c>
      <c r="U11" s="3"/>
      <c r="V11" s="466">
        <f>E11</f>
      </c>
      <c r="W11" s="466">
        <f>F11</f>
      </c>
      <c r="X11" s="466">
        <f>G11</f>
      </c>
      <c r="Y11" s="466">
        <f>$G11</f>
      </c>
      <c r="Z11" s="466">
        <f>$G11</f>
      </c>
      <c r="AA11" s="466">
        <f>$G11</f>
      </c>
      <c r="AB11" s="466">
        <f>$G11</f>
      </c>
      <c r="AC11" s="466">
        <f>$G11</f>
      </c>
      <c r="AD11" s="466">
        <f>$G11</f>
      </c>
      <c r="AE11" s="466">
        <f>$G11</f>
      </c>
      <c r="AF11" s="466">
        <f>$G11</f>
      </c>
      <c r="AG11" s="466"/>
      <c r="AH11" s="466">
        <f>IFERROR(1/AH$3,1)*SUMIFS(tbl_DCFC[C Montant &amp;#8364; HT],tbl_DCFC[OI_Year],AH$1,tbl_DCFC[OI_Month],IF(RIGHT(AH$2,3)="YTD","&lt;="&amp;LEFT(AH$2,2)*1,AH$2),tbl_DCFC[BU_Key],$A11)</f>
      </c>
      <c r="AI11" s="466">
        <f>AM11/12*LEFT(AI$2,2)*1</f>
      </c>
      <c r="AJ11" s="467">
        <f>AH11-AI11</f>
      </c>
      <c r="AK11" s="3"/>
      <c r="AL11" s="466">
        <f>IFERROR(1/AL$3,1)*SUMIFS(tbl_DCFC[C Montant &amp;#8364; HT],tbl_DCFC[OI_Year],AL$1,tbl_DCFC[OI_Month],IF(RIGHT(AL$2,3)="YTD","&lt;="&amp;LEFT(AL$2,2)*1,AL$2),tbl_DCFC[BU_Key],$A11)</f>
      </c>
      <c r="AM11" s="466">
        <v>700000</v>
      </c>
      <c r="AN11" s="3"/>
      <c r="AO11" s="3"/>
      <c r="AP11" s="3"/>
      <c r="AQ11" s="3"/>
      <c r="AR11" s="3"/>
      <c r="AS11" s="3"/>
      <c r="AT11" s="3"/>
      <c r="AU11" s="3"/>
    </row>
    <row x14ac:dyDescent="0.25" r="12" customHeight="1" ht="19.5">
      <c r="A12" s="41" t="s">
        <v>582</v>
      </c>
      <c r="B12" s="33" t="s">
        <v>458</v>
      </c>
      <c r="C12" s="66"/>
      <c r="D12" s="3"/>
      <c r="E12" s="466">
        <f>$AL12/E$3</f>
      </c>
      <c r="F12" s="466">
        <f>IFERROR(1/F$3,1)*SUMIFS(Data!$S$3:$S$137,Data!$O$3:$O$137,F$1,Data!$P$3:$P$137,IF(RIGHT(F$2,3)="YTD","&lt;="&amp;LEFT(F$2,2)*1,F$2),Data!$K$3:$K$137,$B12)</f>
      </c>
      <c r="G12" s="466">
        <f>AM12/12</f>
      </c>
      <c r="H12" s="3"/>
      <c r="I12" s="466">
        <f>IFERROR(1/I$3,1)*SUMIFS(tbl_DCFC[C Montant &amp;#8364; HT],tbl_DCFC[OI_Year],I$1,tbl_DCFC[OI_Month],IF(RIGHT(I$2,3)="YTD","&lt;="&amp;LEFT(I$2,2)*1,I$2),tbl_DCFC[BU_Key],$A12)</f>
      </c>
      <c r="J12" s="466">
        <f>IFERROR(1/J$3,1)*SUMIFS(tbl_DCFC[C Montant &amp;#8364; HT],tbl_DCFC[OI_Year],J$1,tbl_DCFC[OI_Month],IF(RIGHT(J$2,3)="YTD","&lt;="&amp;LEFT(J$2,2)*1,J$2),tbl_DCFC[BU_Key],$A12)</f>
      </c>
      <c r="K12" s="466">
        <f>IFERROR(1/K$3,1)*SUMIFS(tbl_DCFC[C Montant &amp;#8364; HT],tbl_DCFC[OI_Year],K$1,tbl_DCFC[OI_Month],IF(RIGHT(K$2,3)="YTD","&lt;="&amp;LEFT(K$2,2)*1,K$2),tbl_DCFC[BU_Key],$A12)</f>
      </c>
      <c r="L12" s="466">
        <f>IFERROR(1/L$3,1)*SUMIFS(tbl_DCFC[C Montant &amp;#8364; HT],tbl_DCFC[OI_Year],L$1,tbl_DCFC[OI_Month],IF(RIGHT(L$2,3)="YTD","&lt;="&amp;LEFT(L$2,2)*1,L$2),tbl_DCFC[BU_Key],$A12)</f>
      </c>
      <c r="M12" s="466">
        <f>IFERROR(1/M$3,1)*SUMIFS(tbl_DCFC[C Montant &amp;#8364; HT],tbl_DCFC[OI_Year],M$1,tbl_DCFC[OI_Month],IF(RIGHT(M$2,3)="YTD","&lt;="&amp;LEFT(M$2,2)*1,M$2),tbl_DCFC[BU_Key],$A12)</f>
      </c>
      <c r="N12" s="466">
        <f>IFERROR(1/N$3,1)*SUMIFS(tbl_DCFC[C Montant &amp;#8364; HT],tbl_DCFC[OI_Year],N$1,tbl_DCFC[OI_Month],IF(RIGHT(N$2,3)="YTD","&lt;="&amp;LEFT(N$2,2)*1,N$2),tbl_DCFC[BU_Key],$A12)</f>
      </c>
      <c r="O12" s="466">
        <f>IFERROR(1/O$3,1)*SUMIFS(tbl_DCFC[C Montant &amp;#8364; HT],tbl_DCFC[OI_Year],O$1,tbl_DCFC[OI_Month],IF(RIGHT(O$2,3)="YTD","&lt;="&amp;LEFT(O$2,2)*1,O$2),tbl_DCFC[BU_Key],$A12)</f>
      </c>
      <c r="P12" s="466">
        <f>IFERROR(1/P$3,1)*SUMIFS(tbl_DCFC[C Montant &amp;#8364; HT],tbl_DCFC[OI_Year],P$1,tbl_DCFC[OI_Month],IF(RIGHT(P$2,3)="YTD","&lt;="&amp;LEFT(P$2,2)*1,P$2),tbl_DCFC[BU_Key],$A12)</f>
      </c>
      <c r="Q12" s="466">
        <f>IFERROR(1/Q$3,1)*SUMIFS(tbl_DCFC[C Montant &amp;#8364; HT],tbl_DCFC[OI_Year],Q$1,tbl_DCFC[OI_Month],IF(RIGHT(Q$2,3)="YTD","&lt;="&amp;LEFT(Q$2,2)*1,Q$2),tbl_DCFC[BU_Key],$A12)</f>
      </c>
      <c r="R12" s="466">
        <f>IFERROR(1/R$3,1)*SUMIFS(tbl_DCFC[C Montant &amp;#8364; HT],tbl_DCFC[OI_Year],R$1,tbl_DCFC[OI_Month],IF(RIGHT(R$2,3)="YTD","&lt;="&amp;LEFT(R$2,2)*1,R$2),tbl_DCFC[BU_Key],$A12)</f>
      </c>
      <c r="S12" s="466">
        <f>IFERROR(1/S$3,1)*SUMIFS(tbl_DCFC[C Montant &amp;#8364; HT],tbl_DCFC[OI_Year],S$1,tbl_DCFC[OI_Month],IF(RIGHT(S$2,3)="YTD","&lt;="&amp;LEFT(S$2,2)*1,S$2),tbl_DCFC[BU_Key],$A12)</f>
      </c>
      <c r="T12" s="466">
        <f>IFERROR(1/T$3,1)*SUMIFS(tbl_DCFC[C Montant &amp;#8364; HT],tbl_DCFC[OI_Year],T$1,tbl_DCFC[OI_Month],IF(RIGHT(T$2,3)="YTD","&lt;="&amp;LEFT(T$2,2)*1,T$2),tbl_DCFC[BU_Key],$A12)</f>
      </c>
      <c r="U12" s="3"/>
      <c r="V12" s="466">
        <f>E12</f>
      </c>
      <c r="W12" s="466">
        <f>F12</f>
      </c>
      <c r="X12" s="466">
        <f>G12</f>
      </c>
      <c r="Y12" s="466">
        <f>$G12</f>
      </c>
      <c r="Z12" s="466">
        <f>$G12</f>
      </c>
      <c r="AA12" s="466">
        <f>$G12</f>
      </c>
      <c r="AB12" s="466">
        <f>$G12</f>
      </c>
      <c r="AC12" s="466">
        <f>$G12</f>
      </c>
      <c r="AD12" s="466">
        <f>$G12</f>
      </c>
      <c r="AE12" s="466">
        <f>$G12</f>
      </c>
      <c r="AF12" s="466">
        <f>$G12</f>
      </c>
      <c r="AG12" s="466"/>
      <c r="AH12" s="466">
        <f>IFERROR(1/AH$3,1)*SUMIFS(tbl_DCFC[C Montant &amp;#8364; HT],tbl_DCFC[OI_Year],AH$1,tbl_DCFC[OI_Month],IF(RIGHT(AH$2,3)="YTD","&lt;="&amp;LEFT(AH$2,2)*1,AH$2),tbl_DCFC[BU_Key],$A12)</f>
      </c>
      <c r="AI12" s="466">
        <f>AM12/12*LEFT(AI$2,2)*1</f>
      </c>
      <c r="AJ12" s="467">
        <f>AH12-AI12</f>
      </c>
      <c r="AK12" s="3"/>
      <c r="AL12" s="466">
        <f>IFERROR(1/AL$3,1)*SUMIFS(tbl_DCFC[C Montant &amp;#8364; HT],tbl_DCFC[OI_Year],AL$1,tbl_DCFC[OI_Month],IF(RIGHT(AL$2,3)="YTD","&lt;="&amp;LEFT(AL$2,2)*1,AL$2),tbl_DCFC[BU_Key],$A12)</f>
      </c>
      <c r="AM12" s="469">
        <v>0</v>
      </c>
      <c r="AN12" s="3"/>
      <c r="AO12" s="3"/>
      <c r="AP12" s="3"/>
      <c r="AQ12" s="3"/>
      <c r="AR12" s="3"/>
      <c r="AS12" s="3"/>
      <c r="AT12" s="3"/>
      <c r="AU12" s="3"/>
    </row>
    <row x14ac:dyDescent="0.25" r="13" customHeight="1" ht="19.5">
      <c r="A13" s="3"/>
      <c r="B13" s="459"/>
      <c r="C13" s="66"/>
      <c r="D13" s="3"/>
      <c r="E13" s="460"/>
      <c r="F13" s="460"/>
      <c r="G13" s="461"/>
      <c r="H13" s="3"/>
      <c r="I13" s="461"/>
      <c r="J13" s="461"/>
      <c r="K13" s="461"/>
      <c r="L13" s="461"/>
      <c r="M13" s="461"/>
      <c r="N13" s="460"/>
      <c r="O13" s="460"/>
      <c r="P13" s="460"/>
      <c r="Q13" s="460"/>
      <c r="R13" s="460"/>
      <c r="S13" s="460"/>
      <c r="T13" s="460"/>
      <c r="U13" s="3"/>
      <c r="V13" s="489"/>
      <c r="W13" s="489"/>
      <c r="X13" s="489"/>
      <c r="Y13" s="460"/>
      <c r="Z13" s="460"/>
      <c r="AA13" s="460"/>
      <c r="AB13" s="460"/>
      <c r="AC13" s="460"/>
      <c r="AD13" s="460"/>
      <c r="AE13" s="460"/>
      <c r="AF13" s="462"/>
      <c r="AG13" s="462"/>
      <c r="AH13" s="463"/>
      <c r="AI13" s="464"/>
      <c r="AJ13" s="440"/>
      <c r="AK13" s="3"/>
      <c r="AL13" s="463"/>
      <c r="AM13" s="465"/>
      <c r="AN13" s="3"/>
      <c r="AO13" s="3"/>
      <c r="AP13" s="3"/>
      <c r="AQ13" s="3"/>
      <c r="AR13" s="3"/>
      <c r="AS13" s="3"/>
      <c r="AT13" s="3"/>
      <c r="AU13" s="3"/>
    </row>
    <row x14ac:dyDescent="0.25" r="14" customHeight="1" ht="19.5" hidden="1">
      <c r="A14" s="3"/>
      <c r="B14" s="478" t="s">
        <v>583</v>
      </c>
      <c r="C14" s="66"/>
      <c r="D14" s="3"/>
      <c r="E14" s="460"/>
      <c r="F14" s="460"/>
      <c r="G14" s="461"/>
      <c r="H14" s="3"/>
      <c r="I14" s="461"/>
      <c r="J14" s="461"/>
      <c r="K14" s="461"/>
      <c r="L14" s="461"/>
      <c r="M14" s="461"/>
      <c r="N14" s="460"/>
      <c r="O14" s="460"/>
      <c r="P14" s="460"/>
      <c r="Q14" s="460"/>
      <c r="R14" s="460"/>
      <c r="S14" s="460"/>
      <c r="T14" s="460"/>
      <c r="U14" s="3"/>
      <c r="V14" s="489"/>
      <c r="W14" s="489"/>
      <c r="X14" s="489"/>
      <c r="Y14" s="460"/>
      <c r="Z14" s="460"/>
      <c r="AA14" s="460"/>
      <c r="AB14" s="460"/>
      <c r="AC14" s="460"/>
      <c r="AD14" s="460"/>
      <c r="AE14" s="460"/>
      <c r="AF14" s="462"/>
      <c r="AG14" s="462"/>
      <c r="AH14" s="463"/>
      <c r="AI14" s="464"/>
      <c r="AJ14" s="440"/>
      <c r="AK14" s="3"/>
      <c r="AL14" s="463"/>
      <c r="AM14" s="465"/>
      <c r="AN14" s="3"/>
      <c r="AO14" s="3"/>
      <c r="AP14" s="3"/>
      <c r="AQ14" s="3"/>
      <c r="AR14" s="3"/>
      <c r="AS14" s="3"/>
      <c r="AT14" s="3"/>
      <c r="AU14" s="3"/>
    </row>
    <row x14ac:dyDescent="0.25" r="15" customHeight="1" ht="19.5" hidden="1">
      <c r="A15" s="33" t="s">
        <v>533</v>
      </c>
      <c r="B15" s="33" t="s">
        <v>534</v>
      </c>
      <c r="C15" s="195" t="s">
        <v>535</v>
      </c>
      <c r="D15" s="3"/>
      <c r="E15" s="466">
        <f>$AL15/E$3</f>
      </c>
      <c r="F15" s="466">
        <f>IFERROR(1/F$3,1)*SUMIFS(Data!$S$3:$S$137,Data!$O$3:$O$137,F$1,Data!$P$3:$P$137,IF(RIGHT(F$2,3)="YTD","&lt;="&amp;LEFT(F$2,2)*1,F$2),Data!$K$3:$K$137,$B15)</f>
      </c>
      <c r="G15" s="466">
        <f>AM15/12</f>
      </c>
      <c r="H15" s="3"/>
      <c r="I15" s="466">
        <f>IFERROR(1/I$3,1)*SUMIFS(Data!$S$3:$S$137,Data!$O$3:$O$137,I$1,Data!$P$3:$P$137,IF(RIGHT(I$2,3)="YTD","&lt;="&amp;LEFT(I$2,2)*1,I$2),Data!$K$3:$K$137,$B15)</f>
      </c>
      <c r="J15" s="466">
        <f>IFERROR(1/J$3,1)*SUMIFS(Data!$S$3:$S$137,Data!$O$3:$O$137,J$1,Data!$P$3:$P$137,IF(RIGHT(J$2,3)="YTD","&lt;="&amp;LEFT(J$2,2)*1,J$2),Data!$K$3:$K$137,$B15)</f>
      </c>
      <c r="K15" s="466">
        <f>IFERROR(1/K$3,1)*SUMIFS(Data!$S$3:$S$137,Data!$O$3:$O$137,K$1,Data!$P$3:$P$137,IF(RIGHT(K$2,3)="YTD","&lt;="&amp;LEFT(K$2,2)*1,K$2),Data!$K$3:$K$137,$B15)</f>
      </c>
      <c r="L15" s="466">
        <f>IFERROR(1/L$3,1)*SUMIFS(Data!$S$3:$S$137,Data!$O$3:$O$137,L$1,Data!$P$3:$P$137,IF(RIGHT(L$2,3)="YTD","&lt;="&amp;LEFT(L$2,2)*1,L$2),Data!$K$3:$K$137,$B15)</f>
      </c>
      <c r="M15" s="466">
        <f>IFERROR(1/M$3,1)*SUMIFS(Data!$S$3:$S$137,Data!$O$3:$O$137,M$1,Data!$P$3:$P$137,IF(RIGHT(M$2,3)="YTD","&lt;="&amp;LEFT(M$2,2)*1,M$2),Data!$K$3:$K$137,$B15)</f>
      </c>
      <c r="N15" s="466">
        <f>SUMIFS(Data!$S$3:$S$137,Data!$O$3:$O$137,N$1,Data!$P$3:$P$137,N$2,Data!$K$3:$K$137,$B15)</f>
      </c>
      <c r="O15" s="466">
        <f>SUMIFS(Data!$S$3:$S$137,Data!$O$3:$O$137,O$1,Data!$P$3:$P$137,O$2,Data!$K$3:$K$137,$B15)</f>
      </c>
      <c r="P15" s="466">
        <f>SUMIFS(Data!$S$3:$S$137,Data!$O$3:$O$137,P$1,Data!$P$3:$P$137,P$2,Data!$K$3:$K$137,$B15)</f>
      </c>
      <c r="Q15" s="466">
        <f>SUMIFS(Data!$S$3:$S$137,Data!$O$3:$O$137,Q$1,Data!$P$3:$P$137,Q$2,Data!$K$3:$K$137,$B15)</f>
      </c>
      <c r="R15" s="466">
        <f>SUMIFS(Data!$S$3:$S$137,Data!$O$3:$O$137,R$1,Data!$P$3:$P$137,R$2,Data!$K$3:$K$137,$B15)</f>
      </c>
      <c r="S15" s="466">
        <f>SUMIFS(Data!$S$3:$S$137,Data!$O$3:$O$137,S$1,Data!$P$3:$P$137,S$2,Data!$K$3:$K$137,$B15)</f>
      </c>
      <c r="T15" s="466">
        <f>SUMIFS(Data!$S$3:$S$137,Data!$O$3:$O$137,T$1,Data!$P$3:$P$137,T$2,Data!$K$3:$K$137,$B15)</f>
      </c>
      <c r="U15" s="3"/>
      <c r="V15" s="466">
        <f>E15</f>
      </c>
      <c r="W15" s="466">
        <f>F15</f>
      </c>
      <c r="X15" s="466">
        <f>G15</f>
      </c>
      <c r="Y15" s="466">
        <f>$G15</f>
      </c>
      <c r="Z15" s="466">
        <f>$G15</f>
      </c>
      <c r="AA15" s="466">
        <f>$G15</f>
      </c>
      <c r="AB15" s="466">
        <f>$G15</f>
      </c>
      <c r="AC15" s="466">
        <f>$G15</f>
      </c>
      <c r="AD15" s="466">
        <f>$G15</f>
      </c>
      <c r="AE15" s="466">
        <f>$G15</f>
      </c>
      <c r="AF15" s="466">
        <f>$G15</f>
      </c>
      <c r="AG15" s="466"/>
      <c r="AH15" s="466">
        <f>IFERROR(1/AH$3,1)*SUMIFS(Data!$S$3:$S$137,Data!$O$3:$O$137,AH$1,Data!$P$3:$P$137,IF(RIGHT(AH$2,3)="YTD","&lt;="&amp;LEFT(AH$2,2)*1,AH$2),Data!$K$3:$K$137,$B15)</f>
      </c>
      <c r="AI15" s="466">
        <f>AM15/12*LEFT(AI$2,2)*1</f>
      </c>
      <c r="AJ15" s="467">
        <f>AH15-AI15</f>
      </c>
      <c r="AK15" s="3"/>
      <c r="AL15" s="466">
        <v>5075</v>
      </c>
      <c r="AM15" s="466">
        <v>370000</v>
      </c>
      <c r="AN15" s="3"/>
      <c r="AO15" s="3"/>
      <c r="AP15" s="3"/>
      <c r="AQ15" s="3"/>
      <c r="AR15" s="3"/>
      <c r="AS15" s="3"/>
      <c r="AT15" s="3"/>
      <c r="AU15" s="3"/>
    </row>
    <row x14ac:dyDescent="0.25" r="16" customHeight="1" ht="19.5" hidden="1">
      <c r="A16" s="3" t="s">
        <v>536</v>
      </c>
      <c r="B16" s="33" t="s">
        <v>537</v>
      </c>
      <c r="C16" s="195" t="s">
        <v>535</v>
      </c>
      <c r="D16" s="3"/>
      <c r="E16" s="466">
        <f>$AL16/E$3</f>
      </c>
      <c r="F16" s="466">
        <f>IFERROR(1/F$3,1)*SUMIFS(Data!$S$3:$S$137,Data!$O$3:$O$137,F$1,Data!$P$3:$P$137,IF(RIGHT(F$2,3)="YTD","&lt;="&amp;LEFT(F$2,2)*1,F$2),Data!$K$3:$K$137,$B16)</f>
      </c>
      <c r="G16" s="466">
        <f>AM16/12</f>
      </c>
      <c r="H16" s="3"/>
      <c r="I16" s="466">
        <f>IFERROR(1/I$3,1)*SUMIFS(Data!$S$3:$S$137,Data!$O$3:$O$137,I$1,Data!$P$3:$P$137,IF(RIGHT(I$2,3)="YTD","&lt;="&amp;LEFT(I$2,2)*1,I$2),Data!$K$3:$K$137,$B16)</f>
      </c>
      <c r="J16" s="466">
        <f>IFERROR(1/J$3,1)*SUMIFS(Data!$S$3:$S$137,Data!$O$3:$O$137,J$1,Data!$P$3:$P$137,IF(RIGHT(J$2,3)="YTD","&lt;="&amp;LEFT(J$2,2)*1,J$2),Data!$K$3:$K$137,$B16)</f>
      </c>
      <c r="K16" s="466">
        <f>IFERROR(1/K$3,1)*SUMIFS(Data!$S$3:$S$137,Data!$O$3:$O$137,K$1,Data!$P$3:$P$137,IF(RIGHT(K$2,3)="YTD","&lt;="&amp;LEFT(K$2,2)*1,K$2),Data!$K$3:$K$137,$B16)</f>
      </c>
      <c r="L16" s="466">
        <f>IFERROR(1/L$3,1)*SUMIFS(Data!$S$3:$S$137,Data!$O$3:$O$137,L$1,Data!$P$3:$P$137,IF(RIGHT(L$2,3)="YTD","&lt;="&amp;LEFT(L$2,2)*1,L$2),Data!$K$3:$K$137,$B16)</f>
      </c>
      <c r="M16" s="466">
        <f>IFERROR(1/M$3,1)*SUMIFS(Data!$S$3:$S$137,Data!$O$3:$O$137,M$1,Data!$P$3:$P$137,IF(RIGHT(M$2,3)="YTD","&lt;="&amp;LEFT(M$2,2)*1,M$2),Data!$K$3:$K$137,$B16)</f>
      </c>
      <c r="N16" s="466">
        <f>SUMIFS(Data!$S$3:$S$137,Data!$O$3:$O$137,N$1,Data!$P$3:$P$137,N$2,Data!$K$3:$K$137,$B16)</f>
      </c>
      <c r="O16" s="466">
        <f>SUMIFS(Data!$S$3:$S$137,Data!$O$3:$O$137,O$1,Data!$P$3:$P$137,O$2,Data!$K$3:$K$137,$B16)</f>
      </c>
      <c r="P16" s="466">
        <f>SUMIFS(Data!$S$3:$S$137,Data!$O$3:$O$137,P$1,Data!$P$3:$P$137,P$2,Data!$K$3:$K$137,$B16)</f>
      </c>
      <c r="Q16" s="466">
        <f>SUMIFS(Data!$S$3:$S$137,Data!$O$3:$O$137,Q$1,Data!$P$3:$P$137,Q$2,Data!$K$3:$K$137,$B16)</f>
      </c>
      <c r="R16" s="466">
        <f>SUMIFS(Data!$S$3:$S$137,Data!$O$3:$O$137,R$1,Data!$P$3:$P$137,R$2,Data!$K$3:$K$137,$B16)</f>
      </c>
      <c r="S16" s="466">
        <f>SUMIFS(Data!$S$3:$S$137,Data!$O$3:$O$137,S$1,Data!$P$3:$P$137,S$2,Data!$K$3:$K$137,$B16)</f>
      </c>
      <c r="T16" s="466">
        <f>SUMIFS(Data!$S$3:$S$137,Data!$O$3:$O$137,T$1,Data!$P$3:$P$137,T$2,Data!$K$3:$K$137,$B16)</f>
      </c>
      <c r="U16" s="3"/>
      <c r="V16" s="466">
        <f>E16</f>
      </c>
      <c r="W16" s="466">
        <f>F16</f>
      </c>
      <c r="X16" s="466">
        <f>G16</f>
      </c>
      <c r="Y16" s="466">
        <f>$G16</f>
      </c>
      <c r="Z16" s="466">
        <f>$G16</f>
      </c>
      <c r="AA16" s="466">
        <f>$G16</f>
      </c>
      <c r="AB16" s="466">
        <f>$G16</f>
      </c>
      <c r="AC16" s="466">
        <f>$G16</f>
      </c>
      <c r="AD16" s="466">
        <f>$G16</f>
      </c>
      <c r="AE16" s="466">
        <f>$G16</f>
      </c>
      <c r="AF16" s="466">
        <f>$G16</f>
      </c>
      <c r="AG16" s="466"/>
      <c r="AH16" s="466">
        <f>IFERROR(1/AH$3,1)*SUMIFS(Data!$S$3:$S$137,Data!$O$3:$O$137,AH$1,Data!$P$3:$P$137,IF(RIGHT(AH$2,3)="YTD","&lt;="&amp;LEFT(AH$2,2)*1,AH$2),Data!$K$3:$K$137,$B16)</f>
      </c>
      <c r="AI16" s="466">
        <f>AM16/12*LEFT(AI$2,2)*1</f>
      </c>
      <c r="AJ16" s="467">
        <f>AH16-AI16</f>
      </c>
      <c r="AK16" s="3"/>
      <c r="AL16" s="466">
        <v>11490</v>
      </c>
      <c r="AM16" s="466">
        <v>0</v>
      </c>
      <c r="AN16" s="3"/>
      <c r="AO16" s="3"/>
      <c r="AP16" s="3"/>
      <c r="AQ16" s="3"/>
      <c r="AR16" s="3"/>
      <c r="AS16" s="3"/>
      <c r="AT16" s="3"/>
      <c r="AU16" s="3"/>
    </row>
    <row x14ac:dyDescent="0.25" r="17" customHeight="1" ht="19.5" hidden="1">
      <c r="A17" s="3"/>
      <c r="B17" s="33" t="s">
        <v>538</v>
      </c>
      <c r="C17" s="195" t="s">
        <v>535</v>
      </c>
      <c r="D17" s="3"/>
      <c r="E17" s="466">
        <f>$AL17/E$3</f>
      </c>
      <c r="F17" s="466">
        <f>IFERROR(1/F$3,1)*SUMIFS(Data!$S$3:$S$137,Data!$O$3:$O$137,F$1,Data!$P$3:$P$137,IF(RIGHT(F$2,3)="YTD","&lt;="&amp;LEFT(F$2,2)*1,F$2),Data!$K$3:$K$137,$B17)</f>
      </c>
      <c r="G17" s="466">
        <f>AM17/12</f>
      </c>
      <c r="H17" s="3"/>
      <c r="I17" s="466">
        <f>IFERROR(1/I$3,1)*SUMIFS(Data!$S$3:$S$137,Data!$O$3:$O$137,I$1,Data!$P$3:$P$137,IF(RIGHT(I$2,3)="YTD","&lt;="&amp;LEFT(I$2,2)*1,I$2),Data!$K$3:$K$137,$B17)</f>
      </c>
      <c r="J17" s="466">
        <f>IFERROR(1/J$3,1)*SUMIFS(Data!$S$3:$S$137,Data!$O$3:$O$137,J$1,Data!$P$3:$P$137,IF(RIGHT(J$2,3)="YTD","&lt;="&amp;LEFT(J$2,2)*1,J$2),Data!$K$3:$K$137,$B17)</f>
      </c>
      <c r="K17" s="466">
        <f>IFERROR(1/K$3,1)*SUMIFS(Data!$S$3:$S$137,Data!$O$3:$O$137,K$1,Data!$P$3:$P$137,IF(RIGHT(K$2,3)="YTD","&lt;="&amp;LEFT(K$2,2)*1,K$2),Data!$K$3:$K$137,$B17)</f>
      </c>
      <c r="L17" s="466">
        <f>IFERROR(1/L$3,1)*SUMIFS(Data!$S$3:$S$137,Data!$O$3:$O$137,L$1,Data!$P$3:$P$137,IF(RIGHT(L$2,3)="YTD","&lt;="&amp;LEFT(L$2,2)*1,L$2),Data!$K$3:$K$137,$B17)</f>
      </c>
      <c r="M17" s="466">
        <f>IFERROR(1/M$3,1)*SUMIFS(Data!$S$3:$S$137,Data!$O$3:$O$137,M$1,Data!$P$3:$P$137,IF(RIGHT(M$2,3)="YTD","&lt;="&amp;LEFT(M$2,2)*1,M$2),Data!$K$3:$K$137,$B17)</f>
      </c>
      <c r="N17" s="466">
        <f>SUMIFS(Data!$S$3:$S$137,Data!$O$3:$O$137,N$1,Data!$P$3:$P$137,N$2,Data!$K$3:$K$137,$B17)</f>
      </c>
      <c r="O17" s="466">
        <f>SUMIFS(Data!$S$3:$S$137,Data!$O$3:$O$137,O$1,Data!$P$3:$P$137,O$2,Data!$K$3:$K$137,$B17)</f>
      </c>
      <c r="P17" s="466">
        <f>SUMIFS(Data!$S$3:$S$137,Data!$O$3:$O$137,P$1,Data!$P$3:$P$137,P$2,Data!$K$3:$K$137,$B17)</f>
      </c>
      <c r="Q17" s="466">
        <f>SUMIFS(Data!$S$3:$S$137,Data!$O$3:$O$137,Q$1,Data!$P$3:$P$137,Q$2,Data!$K$3:$K$137,$B17)</f>
      </c>
      <c r="R17" s="466">
        <f>SUMIFS(Data!$S$3:$S$137,Data!$O$3:$O$137,R$1,Data!$P$3:$P$137,R$2,Data!$K$3:$K$137,$B17)</f>
      </c>
      <c r="S17" s="466">
        <f>SUMIFS(Data!$S$3:$S$137,Data!$O$3:$O$137,S$1,Data!$P$3:$P$137,S$2,Data!$K$3:$K$137,$B17)</f>
      </c>
      <c r="T17" s="466">
        <f>SUMIFS(Data!$S$3:$S$137,Data!$O$3:$O$137,T$1,Data!$P$3:$P$137,T$2,Data!$K$3:$K$137,$B17)</f>
      </c>
      <c r="U17" s="3"/>
      <c r="V17" s="466">
        <f>E17</f>
      </c>
      <c r="W17" s="466">
        <f>F17</f>
      </c>
      <c r="X17" s="466">
        <f>G17</f>
      </c>
      <c r="Y17" s="466">
        <f>$G17</f>
      </c>
      <c r="Z17" s="466">
        <f>$G17</f>
      </c>
      <c r="AA17" s="466">
        <f>$G17</f>
      </c>
      <c r="AB17" s="466">
        <f>$G17</f>
      </c>
      <c r="AC17" s="466">
        <f>$G17</f>
      </c>
      <c r="AD17" s="466">
        <f>$G17</f>
      </c>
      <c r="AE17" s="466">
        <f>$G17</f>
      </c>
      <c r="AF17" s="466">
        <f>$G17</f>
      </c>
      <c r="AG17" s="466"/>
      <c r="AH17" s="466">
        <f>IFERROR(1/AH$3,1)*SUMIFS(Data!$S$3:$S$137,Data!$O$3:$O$137,AH$1,Data!$P$3:$P$137,IF(RIGHT(AH$2,3)="YTD","&lt;="&amp;LEFT(AH$2,2)*1,AH$2),Data!$K$3:$K$137,$B17)</f>
      </c>
      <c r="AI17" s="466">
        <f>AM17/12*LEFT(AI$2,2)*1</f>
      </c>
      <c r="AJ17" s="467">
        <f>AH17-AI17</f>
      </c>
      <c r="AK17" s="3"/>
      <c r="AL17" s="466">
        <v>534520</v>
      </c>
      <c r="AM17" s="466">
        <v>0</v>
      </c>
      <c r="AN17" s="3"/>
      <c r="AO17" s="3"/>
      <c r="AP17" s="3"/>
      <c r="AQ17" s="3"/>
      <c r="AR17" s="3"/>
      <c r="AS17" s="3"/>
      <c r="AT17" s="3"/>
      <c r="AU17" s="3"/>
    </row>
    <row x14ac:dyDescent="0.25" r="18" customHeight="1" ht="19.5" hidden="1">
      <c r="A18" s="3" t="s">
        <v>539</v>
      </c>
      <c r="B18" s="33" t="s">
        <v>540</v>
      </c>
      <c r="C18" s="195" t="s">
        <v>535</v>
      </c>
      <c r="D18" s="3"/>
      <c r="E18" s="466">
        <f>$AL18/E$3</f>
      </c>
      <c r="F18" s="466">
        <f>IFERROR(1/F$3,1)*SUMIFS(Data!$S$3:$S$137,Data!$O$3:$O$137,F$1,Data!$P$3:$P$137,IF(RIGHT(F$2,3)="YTD","&lt;="&amp;LEFT(F$2,2)*1,F$2),Data!$K$3:$K$137,$B18)</f>
      </c>
      <c r="G18" s="466">
        <f>AM18/12</f>
      </c>
      <c r="H18" s="3"/>
      <c r="I18" s="466">
        <f>IFERROR(1/I$3,1)*SUMIFS(Data!$S$3:$S$137,Data!$O$3:$O$137,I$1,Data!$P$3:$P$137,IF(RIGHT(I$2,3)="YTD","&lt;="&amp;LEFT(I$2,2)*1,I$2),Data!$K$3:$K$137,$B18)</f>
      </c>
      <c r="J18" s="466">
        <f>IFERROR(1/J$3,1)*SUMIFS(Data!$S$3:$S$137,Data!$O$3:$O$137,J$1,Data!$P$3:$P$137,IF(RIGHT(J$2,3)="YTD","&lt;="&amp;LEFT(J$2,2)*1,J$2),Data!$K$3:$K$137,$B18)</f>
      </c>
      <c r="K18" s="466">
        <f>IFERROR(1/K$3,1)*SUMIFS(Data!$S$3:$S$137,Data!$O$3:$O$137,K$1,Data!$P$3:$P$137,IF(RIGHT(K$2,3)="YTD","&lt;="&amp;LEFT(K$2,2)*1,K$2),Data!$K$3:$K$137,$B18)</f>
      </c>
      <c r="L18" s="466">
        <f>IFERROR(1/L$3,1)*SUMIFS(Data!$S$3:$S$137,Data!$O$3:$O$137,L$1,Data!$P$3:$P$137,IF(RIGHT(L$2,3)="YTD","&lt;="&amp;LEFT(L$2,2)*1,L$2),Data!$K$3:$K$137,$B18)</f>
      </c>
      <c r="M18" s="466">
        <f>IFERROR(1/M$3,1)*SUMIFS(Data!$S$3:$S$137,Data!$O$3:$O$137,M$1,Data!$P$3:$P$137,IF(RIGHT(M$2,3)="YTD","&lt;="&amp;LEFT(M$2,2)*1,M$2),Data!$K$3:$K$137,$B18)</f>
      </c>
      <c r="N18" s="466">
        <f>SUMIFS(Data!$S$3:$S$137,Data!$O$3:$O$137,N$1,Data!$P$3:$P$137,N$2,Data!$K$3:$K$137,$B18)</f>
      </c>
      <c r="O18" s="466">
        <f>SUMIFS(Data!$S$3:$S$137,Data!$O$3:$O$137,O$1,Data!$P$3:$P$137,O$2,Data!$K$3:$K$137,$B18)</f>
      </c>
      <c r="P18" s="466">
        <f>SUMIFS(Data!$S$3:$S$137,Data!$O$3:$O$137,P$1,Data!$P$3:$P$137,P$2,Data!$K$3:$K$137,$B18)</f>
      </c>
      <c r="Q18" s="466">
        <f>SUMIFS(Data!$S$3:$S$137,Data!$O$3:$O$137,Q$1,Data!$P$3:$P$137,Q$2,Data!$K$3:$K$137,$B18)</f>
      </c>
      <c r="R18" s="466">
        <f>SUMIFS(Data!$S$3:$S$137,Data!$O$3:$O$137,R$1,Data!$P$3:$P$137,R$2,Data!$K$3:$K$137,$B18)</f>
      </c>
      <c r="S18" s="466">
        <f>SUMIFS(Data!$S$3:$S$137,Data!$O$3:$O$137,S$1,Data!$P$3:$P$137,S$2,Data!$K$3:$K$137,$B18)</f>
      </c>
      <c r="T18" s="466">
        <f>SUMIFS(Data!$S$3:$S$137,Data!$O$3:$O$137,T$1,Data!$P$3:$P$137,T$2,Data!$K$3:$K$137,$B18)</f>
      </c>
      <c r="U18" s="3"/>
      <c r="V18" s="466">
        <f>E18</f>
      </c>
      <c r="W18" s="466">
        <f>F18</f>
      </c>
      <c r="X18" s="466">
        <f>G18</f>
      </c>
      <c r="Y18" s="466">
        <f>$G18</f>
      </c>
      <c r="Z18" s="466">
        <f>$G18</f>
      </c>
      <c r="AA18" s="466">
        <f>$G18</f>
      </c>
      <c r="AB18" s="466">
        <f>$G18</f>
      </c>
      <c r="AC18" s="466">
        <f>$G18</f>
      </c>
      <c r="AD18" s="466">
        <f>$G18</f>
      </c>
      <c r="AE18" s="466">
        <f>$G18</f>
      </c>
      <c r="AF18" s="466">
        <f>$G18</f>
      </c>
      <c r="AG18" s="466"/>
      <c r="AH18" s="466">
        <f>IFERROR(1/AH$3,1)*SUMIFS(Data!$S$3:$S$137,Data!$O$3:$O$137,AH$1,Data!$P$3:$P$137,IF(RIGHT(AH$2,3)="YTD","&lt;="&amp;LEFT(AH$2,2)*1,AH$2),Data!$K$3:$K$137,$B18)</f>
      </c>
      <c r="AI18" s="466">
        <f>AM18/12*LEFT(AI$2,2)*1</f>
      </c>
      <c r="AJ18" s="467">
        <f>AH18-AI18</f>
      </c>
      <c r="AK18" s="3"/>
      <c r="AL18" s="466">
        <v>13410</v>
      </c>
      <c r="AM18" s="466">
        <v>0</v>
      </c>
      <c r="AN18" s="3"/>
      <c r="AO18" s="3"/>
      <c r="AP18" s="3"/>
      <c r="AQ18" s="3"/>
      <c r="AR18" s="3"/>
      <c r="AS18" s="3"/>
      <c r="AT18" s="3"/>
      <c r="AU18" s="3"/>
    </row>
    <row x14ac:dyDescent="0.25" r="19" customHeight="1" ht="19.5" hidden="1">
      <c r="A19" s="3" t="s">
        <v>541</v>
      </c>
      <c r="B19" s="33" t="s">
        <v>542</v>
      </c>
      <c r="C19" s="195" t="s">
        <v>535</v>
      </c>
      <c r="D19" s="3"/>
      <c r="E19" s="466">
        <f>$AL19/E$3</f>
      </c>
      <c r="F19" s="466">
        <f>IFERROR(1/F$3,1)*SUMIFS(Data!$S$3:$S$137,Data!$O$3:$O$137,F$1,Data!$P$3:$P$137,IF(RIGHT(F$2,3)="YTD","&lt;="&amp;LEFT(F$2,2)*1,F$2),Data!$K$3:$K$137,$B19)</f>
      </c>
      <c r="G19" s="466">
        <f>AM19/12</f>
      </c>
      <c r="H19" s="3"/>
      <c r="I19" s="466">
        <f>IFERROR(1/I$3,1)*SUMIFS(Data!$S$3:$S$137,Data!$O$3:$O$137,I$1,Data!$P$3:$P$137,IF(RIGHT(I$2,3)="YTD","&lt;="&amp;LEFT(I$2,2)*1,I$2),Data!$K$3:$K$137,$B19)</f>
      </c>
      <c r="J19" s="466">
        <f>IFERROR(1/J$3,1)*SUMIFS(Data!$S$3:$S$137,Data!$O$3:$O$137,J$1,Data!$P$3:$P$137,IF(RIGHT(J$2,3)="YTD","&lt;="&amp;LEFT(J$2,2)*1,J$2),Data!$K$3:$K$137,$B19)</f>
      </c>
      <c r="K19" s="466">
        <f>IFERROR(1/K$3,1)*SUMIFS(Data!$S$3:$S$137,Data!$O$3:$O$137,K$1,Data!$P$3:$P$137,IF(RIGHT(K$2,3)="YTD","&lt;="&amp;LEFT(K$2,2)*1,K$2),Data!$K$3:$K$137,$B19)</f>
      </c>
      <c r="L19" s="466">
        <f>IFERROR(1/L$3,1)*SUMIFS(Data!$S$3:$S$137,Data!$O$3:$O$137,L$1,Data!$P$3:$P$137,IF(RIGHT(L$2,3)="YTD","&lt;="&amp;LEFT(L$2,2)*1,L$2),Data!$K$3:$K$137,$B19)</f>
      </c>
      <c r="M19" s="466">
        <f>IFERROR(1/M$3,1)*SUMIFS(Data!$S$3:$S$137,Data!$O$3:$O$137,M$1,Data!$P$3:$P$137,IF(RIGHT(M$2,3)="YTD","&lt;="&amp;LEFT(M$2,2)*1,M$2),Data!$K$3:$K$137,$B19)</f>
      </c>
      <c r="N19" s="466">
        <f>SUMIFS(Data!$S$3:$S$137,Data!$O$3:$O$137,N$1,Data!$P$3:$P$137,N$2,Data!$K$3:$K$137,$B19)</f>
      </c>
      <c r="O19" s="466">
        <f>SUMIFS(Data!$S$3:$S$137,Data!$O$3:$O$137,O$1,Data!$P$3:$P$137,O$2,Data!$K$3:$K$137,$B19)</f>
      </c>
      <c r="P19" s="466">
        <f>SUMIFS(Data!$S$3:$S$137,Data!$O$3:$O$137,P$1,Data!$P$3:$P$137,P$2,Data!$K$3:$K$137,$B19)</f>
      </c>
      <c r="Q19" s="466">
        <f>SUMIFS(Data!$S$3:$S$137,Data!$O$3:$O$137,Q$1,Data!$P$3:$P$137,Q$2,Data!$K$3:$K$137,$B19)</f>
      </c>
      <c r="R19" s="466">
        <f>SUMIFS(Data!$S$3:$S$137,Data!$O$3:$O$137,R$1,Data!$P$3:$P$137,R$2,Data!$K$3:$K$137,$B19)</f>
      </c>
      <c r="S19" s="466">
        <f>SUMIFS(Data!$S$3:$S$137,Data!$O$3:$O$137,S$1,Data!$P$3:$P$137,S$2,Data!$K$3:$K$137,$B19)</f>
      </c>
      <c r="T19" s="466">
        <f>SUMIFS(Data!$S$3:$S$137,Data!$O$3:$O$137,T$1,Data!$P$3:$P$137,T$2,Data!$K$3:$K$137,$B19)</f>
      </c>
      <c r="U19" s="3"/>
      <c r="V19" s="466">
        <f>E19</f>
      </c>
      <c r="W19" s="466">
        <f>F19</f>
      </c>
      <c r="X19" s="466">
        <f>G19</f>
      </c>
      <c r="Y19" s="466">
        <f>$G19</f>
      </c>
      <c r="Z19" s="466">
        <f>$G19</f>
      </c>
      <c r="AA19" s="466">
        <f>$G19</f>
      </c>
      <c r="AB19" s="466">
        <f>$G19</f>
      </c>
      <c r="AC19" s="466">
        <f>$G19</f>
      </c>
      <c r="AD19" s="466">
        <f>$G19</f>
      </c>
      <c r="AE19" s="466">
        <f>$G19</f>
      </c>
      <c r="AF19" s="466">
        <f>$G19</f>
      </c>
      <c r="AG19" s="466"/>
      <c r="AH19" s="466">
        <f>IFERROR(1/AH$3,1)*SUMIFS(Data!$S$3:$S$137,Data!$O$3:$O$137,AH$1,Data!$P$3:$P$137,IF(RIGHT(AH$2,3)="YTD","&lt;="&amp;LEFT(AH$2,2)*1,AH$2),Data!$K$3:$K$137,$B19)</f>
      </c>
      <c r="AI19" s="466">
        <f>AM19/12*LEFT(AI$2,2)*1</f>
      </c>
      <c r="AJ19" s="467">
        <f>AH19-AI19</f>
      </c>
      <c r="AK19" s="3"/>
      <c r="AL19" s="466">
        <v>103515</v>
      </c>
      <c r="AM19" s="469">
        <v>0</v>
      </c>
      <c r="AN19" s="3"/>
      <c r="AO19" s="3"/>
      <c r="AP19" s="3"/>
      <c r="AQ19" s="3"/>
      <c r="AR19" s="3"/>
      <c r="AS19" s="3"/>
      <c r="AT19" s="3"/>
      <c r="AU19" s="3"/>
    </row>
    <row x14ac:dyDescent="0.25" r="20" customHeight="1" ht="19.5" hidden="1">
      <c r="A20" s="33" t="s">
        <v>543</v>
      </c>
      <c r="B20" s="33" t="s">
        <v>544</v>
      </c>
      <c r="C20" s="195" t="s">
        <v>535</v>
      </c>
      <c r="D20" s="3"/>
      <c r="E20" s="466">
        <f>$AL20/E$3</f>
      </c>
      <c r="F20" s="466">
        <f>IFERROR(1/F$3,1)*SUMIFS(Data!$S$3:$S$137,Data!$O$3:$O$137,F$1,Data!$P$3:$P$137,IF(RIGHT(F$2,3)="YTD","&lt;="&amp;LEFT(F$2,2)*1,F$2),Data!$K$3:$K$137,$B20)</f>
      </c>
      <c r="G20" s="466">
        <f>AM20/12</f>
      </c>
      <c r="H20" s="3"/>
      <c r="I20" s="466">
        <f>IFERROR(1/I$3,1)*SUMIFS(Data!$S$3:$S$137,Data!$O$3:$O$137,I$1,Data!$P$3:$P$137,IF(RIGHT(I$2,3)="YTD","&lt;="&amp;LEFT(I$2,2)*1,I$2),Data!$K$3:$K$137,$B20)</f>
      </c>
      <c r="J20" s="466">
        <f>IFERROR(1/J$3,1)*SUMIFS(Data!$S$3:$S$137,Data!$O$3:$O$137,J$1,Data!$P$3:$P$137,IF(RIGHT(J$2,3)="YTD","&lt;="&amp;LEFT(J$2,2)*1,J$2),Data!$K$3:$K$137,$B20)</f>
      </c>
      <c r="K20" s="466">
        <f>IFERROR(1/K$3,1)*SUMIFS(Data!$S$3:$S$137,Data!$O$3:$O$137,K$1,Data!$P$3:$P$137,IF(RIGHT(K$2,3)="YTD","&lt;="&amp;LEFT(K$2,2)*1,K$2),Data!$K$3:$K$137,$B20)</f>
      </c>
      <c r="L20" s="466">
        <f>IFERROR(1/L$3,1)*SUMIFS(Data!$S$3:$S$137,Data!$O$3:$O$137,L$1,Data!$P$3:$P$137,IF(RIGHT(L$2,3)="YTD","&lt;="&amp;LEFT(L$2,2)*1,L$2),Data!$K$3:$K$137,$B20)</f>
      </c>
      <c r="M20" s="466">
        <f>IFERROR(1/M$3,1)*SUMIFS(Data!$S$3:$S$137,Data!$O$3:$O$137,M$1,Data!$P$3:$P$137,IF(RIGHT(M$2,3)="YTD","&lt;="&amp;LEFT(M$2,2)*1,M$2),Data!$K$3:$K$137,$B20)</f>
      </c>
      <c r="N20" s="466">
        <f>SUMIFS(Data!$S$3:$S$137,Data!$O$3:$O$137,N$1,Data!$P$3:$P$137,N$2,Data!$K$3:$K$137,$B20)</f>
      </c>
      <c r="O20" s="466">
        <f>SUMIFS(Data!$S$3:$S$137,Data!$O$3:$O$137,O$1,Data!$P$3:$P$137,O$2,Data!$K$3:$K$137,$B20)</f>
      </c>
      <c r="P20" s="466">
        <f>SUMIFS(Data!$S$3:$S$137,Data!$O$3:$O$137,P$1,Data!$P$3:$P$137,P$2,Data!$K$3:$K$137,$B20)</f>
      </c>
      <c r="Q20" s="466">
        <f>SUMIFS(Data!$S$3:$S$137,Data!$O$3:$O$137,Q$1,Data!$P$3:$P$137,Q$2,Data!$K$3:$K$137,$B20)</f>
      </c>
      <c r="R20" s="466">
        <f>SUMIFS(Data!$S$3:$S$137,Data!$O$3:$O$137,R$1,Data!$P$3:$P$137,R$2,Data!$K$3:$K$137,$B20)</f>
      </c>
      <c r="S20" s="466">
        <f>SUMIFS(Data!$S$3:$S$137,Data!$O$3:$O$137,S$1,Data!$P$3:$P$137,S$2,Data!$K$3:$K$137,$B20)</f>
      </c>
      <c r="T20" s="466">
        <f>SUMIFS(Data!$S$3:$S$137,Data!$O$3:$O$137,T$1,Data!$P$3:$P$137,T$2,Data!$K$3:$K$137,$B20)</f>
      </c>
      <c r="U20" s="3"/>
      <c r="V20" s="466">
        <f>E20</f>
      </c>
      <c r="W20" s="466">
        <f>F20</f>
      </c>
      <c r="X20" s="466">
        <f>G20</f>
      </c>
      <c r="Y20" s="466">
        <f>$G20</f>
      </c>
      <c r="Z20" s="466">
        <f>$G20</f>
      </c>
      <c r="AA20" s="466">
        <f>$G20</f>
      </c>
      <c r="AB20" s="466">
        <f>$G20</f>
      </c>
      <c r="AC20" s="466">
        <f>$G20</f>
      </c>
      <c r="AD20" s="466">
        <f>$G20</f>
      </c>
      <c r="AE20" s="466">
        <f>$G20</f>
      </c>
      <c r="AF20" s="466">
        <f>$G20</f>
      </c>
      <c r="AG20" s="466"/>
      <c r="AH20" s="466">
        <f>IFERROR(1/AH$3,1)*SUMIFS(Data!$S$3:$S$137,Data!$O$3:$O$137,AH$1,Data!$P$3:$P$137,IF(RIGHT(AH$2,3)="YTD","&lt;="&amp;LEFT(AH$2,2)*1,AH$2),Data!$K$3:$K$137,$B20)</f>
      </c>
      <c r="AI20" s="466">
        <f>AM20/12*LEFT(AI$2,2)*1</f>
      </c>
      <c r="AJ20" s="467">
        <f>AH20-AI20</f>
      </c>
      <c r="AK20" s="3"/>
      <c r="AL20" s="466">
        <v>113419</v>
      </c>
      <c r="AM20" s="469">
        <v>250000</v>
      </c>
      <c r="AN20" s="3"/>
      <c r="AO20" s="3"/>
      <c r="AP20" s="3"/>
      <c r="AQ20" s="3"/>
      <c r="AR20" s="3"/>
      <c r="AS20" s="3"/>
      <c r="AT20" s="3"/>
      <c r="AU20" s="3"/>
    </row>
    <row x14ac:dyDescent="0.25" r="21" customHeight="1" ht="19.5" hidden="1">
      <c r="A21" s="33" t="s">
        <v>545</v>
      </c>
      <c r="B21" s="33" t="s">
        <v>546</v>
      </c>
      <c r="C21" s="195" t="s">
        <v>535</v>
      </c>
      <c r="D21" s="3"/>
      <c r="E21" s="466">
        <f>$AL21/E$3</f>
      </c>
      <c r="F21" s="466">
        <f>IFERROR(1/F$3,1)*SUMIFS(Data!$S$3:$S$137,Data!$O$3:$O$137,F$1,Data!$P$3:$P$137,IF(RIGHT(F$2,3)="YTD","&lt;="&amp;LEFT(F$2,2)*1,F$2),Data!$K$3:$K$137,$B21)</f>
      </c>
      <c r="G21" s="466">
        <f>AM21/12</f>
      </c>
      <c r="H21" s="3"/>
      <c r="I21" s="466">
        <f>IFERROR(1/I$3,1)*SUMIFS(Data!$S$3:$S$137,Data!$O$3:$O$137,I$1,Data!$P$3:$P$137,IF(RIGHT(I$2,3)="YTD","&lt;="&amp;LEFT(I$2,2)*1,I$2),Data!$K$3:$K$137,$B21)</f>
      </c>
      <c r="J21" s="466">
        <f>IFERROR(1/J$3,1)*SUMIFS(Data!$S$3:$S$137,Data!$O$3:$O$137,J$1,Data!$P$3:$P$137,IF(RIGHT(J$2,3)="YTD","&lt;="&amp;LEFT(J$2,2)*1,J$2),Data!$K$3:$K$137,$B21)</f>
      </c>
      <c r="K21" s="466">
        <f>IFERROR(1/K$3,1)*SUMIFS(Data!$S$3:$S$137,Data!$O$3:$O$137,K$1,Data!$P$3:$P$137,IF(RIGHT(K$2,3)="YTD","&lt;="&amp;LEFT(K$2,2)*1,K$2),Data!$K$3:$K$137,$B21)</f>
      </c>
      <c r="L21" s="466">
        <f>IFERROR(1/L$3,1)*SUMIFS(Data!$S$3:$S$137,Data!$O$3:$O$137,L$1,Data!$P$3:$P$137,IF(RIGHT(L$2,3)="YTD","&lt;="&amp;LEFT(L$2,2)*1,L$2),Data!$K$3:$K$137,$B21)</f>
      </c>
      <c r="M21" s="466">
        <f>IFERROR(1/M$3,1)*SUMIFS(Data!$S$3:$S$137,Data!$O$3:$O$137,M$1,Data!$P$3:$P$137,IF(RIGHT(M$2,3)="YTD","&lt;="&amp;LEFT(M$2,2)*1,M$2),Data!$K$3:$K$137,$B21)</f>
      </c>
      <c r="N21" s="466">
        <f>SUMIFS(Data!$S$3:$S$137,Data!$O$3:$O$137,N$1,Data!$P$3:$P$137,N$2,Data!$K$3:$K$137,$B21)</f>
      </c>
      <c r="O21" s="466">
        <f>SUMIFS(Data!$S$3:$S$137,Data!$O$3:$O$137,O$1,Data!$P$3:$P$137,O$2,Data!$K$3:$K$137,$B21)</f>
      </c>
      <c r="P21" s="466">
        <f>SUMIFS(Data!$S$3:$S$137,Data!$O$3:$O$137,P$1,Data!$P$3:$P$137,P$2,Data!$K$3:$K$137,$B21)</f>
      </c>
      <c r="Q21" s="466">
        <f>SUMIFS(Data!$S$3:$S$137,Data!$O$3:$O$137,Q$1,Data!$P$3:$P$137,Q$2,Data!$K$3:$K$137,$B21)</f>
      </c>
      <c r="R21" s="466">
        <f>SUMIFS(Data!$S$3:$S$137,Data!$O$3:$O$137,R$1,Data!$P$3:$P$137,R$2,Data!$K$3:$K$137,$B21)</f>
      </c>
      <c r="S21" s="466">
        <f>SUMIFS(Data!$S$3:$S$137,Data!$O$3:$O$137,S$1,Data!$P$3:$P$137,S$2,Data!$K$3:$K$137,$B21)</f>
      </c>
      <c r="T21" s="466">
        <f>SUMIFS(Data!$S$3:$S$137,Data!$O$3:$O$137,T$1,Data!$P$3:$P$137,T$2,Data!$K$3:$K$137,$B21)</f>
      </c>
      <c r="U21" s="3"/>
      <c r="V21" s="466">
        <f>E21</f>
      </c>
      <c r="W21" s="466">
        <f>F21</f>
      </c>
      <c r="X21" s="466">
        <f>G21</f>
      </c>
      <c r="Y21" s="466">
        <f>$G21</f>
      </c>
      <c r="Z21" s="466">
        <f>$G21</f>
      </c>
      <c r="AA21" s="466">
        <f>$G21</f>
      </c>
      <c r="AB21" s="466">
        <f>$G21</f>
      </c>
      <c r="AC21" s="466">
        <f>$G21</f>
      </c>
      <c r="AD21" s="466">
        <f>$G21</f>
      </c>
      <c r="AE21" s="466">
        <f>$G21</f>
      </c>
      <c r="AF21" s="466">
        <f>$G21</f>
      </c>
      <c r="AG21" s="466"/>
      <c r="AH21" s="466">
        <f>IFERROR(1/AH$3,1)*SUMIFS(Data!$S$3:$S$137,Data!$O$3:$O$137,AH$1,Data!$P$3:$P$137,IF(RIGHT(AH$2,3)="YTD","&lt;="&amp;LEFT(AH$2,2)*1,AH$2),Data!$K$3:$K$137,$B21)</f>
      </c>
      <c r="AI21" s="466">
        <f>AM21/12*LEFT(AI$2,2)*1</f>
      </c>
      <c r="AJ21" s="467">
        <f>AH21-AI21</f>
      </c>
      <c r="AK21" s="3"/>
      <c r="AL21" s="466">
        <v>66513</v>
      </c>
      <c r="AM21" s="469">
        <v>45000</v>
      </c>
      <c r="AN21" s="3"/>
      <c r="AO21" s="3"/>
      <c r="AP21" s="3"/>
      <c r="AQ21" s="3"/>
      <c r="AR21" s="3"/>
      <c r="AS21" s="3"/>
      <c r="AT21" s="3"/>
      <c r="AU21" s="3"/>
    </row>
    <row x14ac:dyDescent="0.25" r="22" customHeight="1" ht="19.5" hidden="1">
      <c r="A22" s="33" t="s">
        <v>547</v>
      </c>
      <c r="B22" s="33" t="s">
        <v>548</v>
      </c>
      <c r="C22" s="195" t="s">
        <v>535</v>
      </c>
      <c r="D22" s="3"/>
      <c r="E22" s="466">
        <f>$AL22/E$3</f>
      </c>
      <c r="F22" s="466">
        <f>IFERROR(1/F$3,1)*SUMIFS(Data!$S$3:$S$137,Data!$O$3:$O$137,F$1,Data!$P$3:$P$137,IF(RIGHT(F$2,3)="YTD","&lt;="&amp;LEFT(F$2,2)*1,F$2),Data!$K$3:$K$137,$B22)</f>
      </c>
      <c r="G22" s="466">
        <f>AM22/12</f>
      </c>
      <c r="H22" s="3"/>
      <c r="I22" s="466">
        <f>IFERROR(1/I$3,1)*SUMIFS(Data!$S$3:$S$137,Data!$O$3:$O$137,I$1,Data!$P$3:$P$137,IF(RIGHT(I$2,3)="YTD","&lt;="&amp;LEFT(I$2,2)*1,I$2),Data!$K$3:$K$137,$B22)</f>
      </c>
      <c r="J22" s="466">
        <f>IFERROR(1/J$3,1)*SUMIFS(Data!$S$3:$S$137,Data!$O$3:$O$137,J$1,Data!$P$3:$P$137,IF(RIGHT(J$2,3)="YTD","&lt;="&amp;LEFT(J$2,2)*1,J$2),Data!$K$3:$K$137,$B22)</f>
      </c>
      <c r="K22" s="466">
        <f>IFERROR(1/K$3,1)*SUMIFS(Data!$S$3:$S$137,Data!$O$3:$O$137,K$1,Data!$P$3:$P$137,IF(RIGHT(K$2,3)="YTD","&lt;="&amp;LEFT(K$2,2)*1,K$2),Data!$K$3:$K$137,$B22)</f>
      </c>
      <c r="L22" s="466">
        <f>IFERROR(1/L$3,1)*SUMIFS(Data!$S$3:$S$137,Data!$O$3:$O$137,L$1,Data!$P$3:$P$137,IF(RIGHT(L$2,3)="YTD","&lt;="&amp;LEFT(L$2,2)*1,L$2),Data!$K$3:$K$137,$B22)</f>
      </c>
      <c r="M22" s="466">
        <f>IFERROR(1/M$3,1)*SUMIFS(Data!$S$3:$S$137,Data!$O$3:$O$137,M$1,Data!$P$3:$P$137,IF(RIGHT(M$2,3)="YTD","&lt;="&amp;LEFT(M$2,2)*1,M$2),Data!$K$3:$K$137,$B22)</f>
      </c>
      <c r="N22" s="466">
        <f>SUMIFS(Data!$S$3:$S$137,Data!$O$3:$O$137,N$1,Data!$P$3:$P$137,N$2,Data!$K$3:$K$137,$B22)</f>
      </c>
      <c r="O22" s="466">
        <f>SUMIFS(Data!$S$3:$S$137,Data!$O$3:$O$137,O$1,Data!$P$3:$P$137,O$2,Data!$K$3:$K$137,$B22)</f>
      </c>
      <c r="P22" s="466">
        <f>SUMIFS(Data!$S$3:$S$137,Data!$O$3:$O$137,P$1,Data!$P$3:$P$137,P$2,Data!$K$3:$K$137,$B22)</f>
      </c>
      <c r="Q22" s="466">
        <f>SUMIFS(Data!$S$3:$S$137,Data!$O$3:$O$137,Q$1,Data!$P$3:$P$137,Q$2,Data!$K$3:$K$137,$B22)</f>
      </c>
      <c r="R22" s="466">
        <f>SUMIFS(Data!$S$3:$S$137,Data!$O$3:$O$137,R$1,Data!$P$3:$P$137,R$2,Data!$K$3:$K$137,$B22)</f>
      </c>
      <c r="S22" s="466">
        <f>SUMIFS(Data!$S$3:$S$137,Data!$O$3:$O$137,S$1,Data!$P$3:$P$137,S$2,Data!$K$3:$K$137,$B22)</f>
      </c>
      <c r="T22" s="466">
        <f>SUMIFS(Data!$S$3:$S$137,Data!$O$3:$O$137,T$1,Data!$P$3:$P$137,T$2,Data!$K$3:$K$137,$B22)</f>
      </c>
      <c r="U22" s="3"/>
      <c r="V22" s="466">
        <f>E22</f>
      </c>
      <c r="W22" s="466">
        <f>F22</f>
      </c>
      <c r="X22" s="466">
        <f>G22</f>
      </c>
      <c r="Y22" s="466">
        <f>$G22</f>
      </c>
      <c r="Z22" s="466">
        <f>$G22</f>
      </c>
      <c r="AA22" s="466">
        <f>$G22</f>
      </c>
      <c r="AB22" s="466">
        <f>$G22</f>
      </c>
      <c r="AC22" s="466">
        <f>$G22</f>
      </c>
      <c r="AD22" s="466">
        <f>$G22</f>
      </c>
      <c r="AE22" s="466">
        <f>$G22</f>
      </c>
      <c r="AF22" s="466">
        <f>$G22</f>
      </c>
      <c r="AG22" s="466"/>
      <c r="AH22" s="466">
        <f>IFERROR(1/AH$3,1)*SUMIFS(Data!$S$3:$S$137,Data!$O$3:$O$137,AH$1,Data!$P$3:$P$137,IF(RIGHT(AH$2,3)="YTD","&lt;="&amp;LEFT(AH$2,2)*1,AH$2),Data!$K$3:$K$137,$B22)</f>
      </c>
      <c r="AI22" s="466">
        <f>AM22/12*LEFT(AI$2,2)*1</f>
      </c>
      <c r="AJ22" s="467">
        <f>AH22-AI22</f>
      </c>
      <c r="AK22" s="3"/>
      <c r="AL22" s="466">
        <v>3650</v>
      </c>
      <c r="AM22" s="466">
        <v>250000</v>
      </c>
      <c r="AN22" s="3"/>
      <c r="AO22" s="3"/>
      <c r="AP22" s="3"/>
      <c r="AQ22" s="3"/>
      <c r="AR22" s="3"/>
      <c r="AS22" s="3"/>
      <c r="AT22" s="3"/>
      <c r="AU22" s="3"/>
    </row>
    <row x14ac:dyDescent="0.25" r="23" customHeight="1" ht="19.5" hidden="1">
      <c r="A23" s="3" t="s">
        <v>549</v>
      </c>
      <c r="B23" s="33" t="s">
        <v>550</v>
      </c>
      <c r="C23" s="195" t="s">
        <v>535</v>
      </c>
      <c r="D23" s="3"/>
      <c r="E23" s="466">
        <f>$AL23/E$3</f>
      </c>
      <c r="F23" s="466">
        <f>IFERROR(1/F$3,1)*SUMIFS(Data!$S$3:$S$137,Data!$O$3:$O$137,F$1,Data!$P$3:$P$137,IF(RIGHT(F$2,3)="YTD","&lt;="&amp;LEFT(F$2,2)*1,F$2),Data!$K$3:$K$137,$B23)</f>
      </c>
      <c r="G23" s="466">
        <f>AM23/12</f>
      </c>
      <c r="H23" s="3"/>
      <c r="I23" s="466">
        <f>IFERROR(1/I$3,1)*SUMIFS(Data!$S$3:$S$137,Data!$O$3:$O$137,I$1,Data!$P$3:$P$137,IF(RIGHT(I$2,3)="YTD","&lt;="&amp;LEFT(I$2,2)*1,I$2),Data!$K$3:$K$137,$B23)</f>
      </c>
      <c r="J23" s="466">
        <f>IFERROR(1/J$3,1)*SUMIFS(Data!$S$3:$S$137,Data!$O$3:$O$137,J$1,Data!$P$3:$P$137,IF(RIGHT(J$2,3)="YTD","&lt;="&amp;LEFT(J$2,2)*1,J$2),Data!$K$3:$K$137,$B23)</f>
      </c>
      <c r="K23" s="466">
        <f>IFERROR(1/K$3,1)*SUMIFS(Data!$S$3:$S$137,Data!$O$3:$O$137,K$1,Data!$P$3:$P$137,IF(RIGHT(K$2,3)="YTD","&lt;="&amp;LEFT(K$2,2)*1,K$2),Data!$K$3:$K$137,$B23)</f>
      </c>
      <c r="L23" s="466">
        <f>IFERROR(1/L$3,1)*SUMIFS(Data!$S$3:$S$137,Data!$O$3:$O$137,L$1,Data!$P$3:$P$137,IF(RIGHT(L$2,3)="YTD","&lt;="&amp;LEFT(L$2,2)*1,L$2),Data!$K$3:$K$137,$B23)</f>
      </c>
      <c r="M23" s="466">
        <f>IFERROR(1/M$3,1)*SUMIFS(Data!$S$3:$S$137,Data!$O$3:$O$137,M$1,Data!$P$3:$P$137,IF(RIGHT(M$2,3)="YTD","&lt;="&amp;LEFT(M$2,2)*1,M$2),Data!$K$3:$K$137,$B23)</f>
      </c>
      <c r="N23" s="466">
        <f>SUMIFS(Data!$S$3:$S$137,Data!$O$3:$O$137,N$1,Data!$P$3:$P$137,N$2,Data!$K$3:$K$137,$B23)</f>
      </c>
      <c r="O23" s="466">
        <f>SUMIFS(Data!$S$3:$S$137,Data!$O$3:$O$137,O$1,Data!$P$3:$P$137,O$2,Data!$K$3:$K$137,$B23)</f>
      </c>
      <c r="P23" s="466">
        <f>SUMIFS(Data!$S$3:$S$137,Data!$O$3:$O$137,P$1,Data!$P$3:$P$137,P$2,Data!$K$3:$K$137,$B23)</f>
      </c>
      <c r="Q23" s="466">
        <f>SUMIFS(Data!$S$3:$S$137,Data!$O$3:$O$137,Q$1,Data!$P$3:$P$137,Q$2,Data!$K$3:$K$137,$B23)</f>
      </c>
      <c r="R23" s="466">
        <f>SUMIFS(Data!$S$3:$S$137,Data!$O$3:$O$137,R$1,Data!$P$3:$P$137,R$2,Data!$K$3:$K$137,$B23)</f>
      </c>
      <c r="S23" s="466">
        <f>SUMIFS(Data!$S$3:$S$137,Data!$O$3:$O$137,S$1,Data!$P$3:$P$137,S$2,Data!$K$3:$K$137,$B23)</f>
      </c>
      <c r="T23" s="466">
        <f>SUMIFS(Data!$S$3:$S$137,Data!$O$3:$O$137,T$1,Data!$P$3:$P$137,T$2,Data!$K$3:$K$137,$B23)</f>
      </c>
      <c r="U23" s="3"/>
      <c r="V23" s="466">
        <f>E23</f>
      </c>
      <c r="W23" s="466">
        <f>F23</f>
      </c>
      <c r="X23" s="466">
        <f>G23</f>
      </c>
      <c r="Y23" s="466">
        <f>$G23</f>
      </c>
      <c r="Z23" s="466">
        <f>$G23</f>
      </c>
      <c r="AA23" s="466">
        <f>$G23</f>
      </c>
      <c r="AB23" s="466">
        <f>$G23</f>
      </c>
      <c r="AC23" s="466">
        <f>$G23</f>
      </c>
      <c r="AD23" s="466">
        <f>$G23</f>
      </c>
      <c r="AE23" s="466">
        <f>$G23</f>
      </c>
      <c r="AF23" s="466">
        <f>$G23</f>
      </c>
      <c r="AG23" s="466"/>
      <c r="AH23" s="466">
        <f>IFERROR(1/AH$3,1)*SUMIFS(Data!$S$3:$S$137,Data!$O$3:$O$137,AH$1,Data!$P$3:$P$137,IF(RIGHT(AH$2,3)="YTD","&lt;="&amp;LEFT(AH$2,2)*1,AH$2),Data!$K$3:$K$137,$B23)</f>
      </c>
      <c r="AI23" s="466">
        <f>AM23/12*LEFT(AI$2,2)*1</f>
      </c>
      <c r="AJ23" s="467">
        <f>AH23-AI23</f>
      </c>
      <c r="AK23" s="3"/>
      <c r="AL23" s="466">
        <v>851592</v>
      </c>
      <c r="AM23" s="466">
        <v>0</v>
      </c>
      <c r="AN23" s="3"/>
      <c r="AO23" s="3"/>
      <c r="AP23" s="3"/>
      <c r="AQ23" s="3"/>
      <c r="AR23" s="3"/>
      <c r="AS23" s="3"/>
      <c r="AT23" s="3"/>
      <c r="AU23" s="3"/>
    </row>
    <row x14ac:dyDescent="0.25" r="24" customHeight="1" ht="19.5" hidden="1">
      <c r="A24" s="3"/>
      <c r="B24" s="33" t="s">
        <v>551</v>
      </c>
      <c r="C24" s="195" t="s">
        <v>535</v>
      </c>
      <c r="D24" s="3"/>
      <c r="E24" s="466">
        <f>$AL24/E$3</f>
      </c>
      <c r="F24" s="466">
        <f>IFERROR(1/F$3,1)*SUMIFS(Data!$S$3:$S$137,Data!$O$3:$O$137,F$1,Data!$P$3:$P$137,IF(RIGHT(F$2,3)="YTD","&lt;="&amp;LEFT(F$2,2)*1,F$2),Data!$K$3:$K$137,$B24)</f>
      </c>
      <c r="G24" s="466">
        <f>AM24/12</f>
      </c>
      <c r="H24" s="3"/>
      <c r="I24" s="466">
        <f>IFERROR(1/I$3,1)*SUMIFS(Data!$S$3:$S$137,Data!$O$3:$O$137,I$1,Data!$P$3:$P$137,IF(RIGHT(I$2,3)="YTD","&lt;="&amp;LEFT(I$2,2)*1,I$2),Data!$K$3:$K$137,$B24)</f>
      </c>
      <c r="J24" s="466">
        <f>IFERROR(1/J$3,1)*SUMIFS(Data!$S$3:$S$137,Data!$O$3:$O$137,J$1,Data!$P$3:$P$137,IF(RIGHT(J$2,3)="YTD","&lt;="&amp;LEFT(J$2,2)*1,J$2),Data!$K$3:$K$137,$B24)</f>
      </c>
      <c r="K24" s="466">
        <f>IFERROR(1/K$3,1)*SUMIFS(Data!$S$3:$S$137,Data!$O$3:$O$137,K$1,Data!$P$3:$P$137,IF(RIGHT(K$2,3)="YTD","&lt;="&amp;LEFT(K$2,2)*1,K$2),Data!$K$3:$K$137,$B24)</f>
      </c>
      <c r="L24" s="466">
        <f>IFERROR(1/L$3,1)*SUMIFS(Data!$S$3:$S$137,Data!$O$3:$O$137,L$1,Data!$P$3:$P$137,IF(RIGHT(L$2,3)="YTD","&lt;="&amp;LEFT(L$2,2)*1,L$2),Data!$K$3:$K$137,$B24)</f>
      </c>
      <c r="M24" s="466">
        <f>IFERROR(1/M$3,1)*SUMIFS(Data!$S$3:$S$137,Data!$O$3:$O$137,M$1,Data!$P$3:$P$137,IF(RIGHT(M$2,3)="YTD","&lt;="&amp;LEFT(M$2,2)*1,M$2),Data!$K$3:$K$137,$B24)</f>
      </c>
      <c r="N24" s="466">
        <f>SUMIFS(Data!$S$3:$S$137,Data!$O$3:$O$137,N$1,Data!$P$3:$P$137,N$2,Data!$K$3:$K$137,$B24)</f>
      </c>
      <c r="O24" s="466">
        <f>SUMIFS(Data!$S$3:$S$137,Data!$O$3:$O$137,O$1,Data!$P$3:$P$137,O$2,Data!$K$3:$K$137,$B24)</f>
      </c>
      <c r="P24" s="466">
        <f>SUMIFS(Data!$S$3:$S$137,Data!$O$3:$O$137,P$1,Data!$P$3:$P$137,P$2,Data!$K$3:$K$137,$B24)</f>
      </c>
      <c r="Q24" s="466">
        <f>SUMIFS(Data!$S$3:$S$137,Data!$O$3:$O$137,Q$1,Data!$P$3:$P$137,Q$2,Data!$K$3:$K$137,$B24)</f>
      </c>
      <c r="R24" s="466">
        <f>SUMIFS(Data!$S$3:$S$137,Data!$O$3:$O$137,R$1,Data!$P$3:$P$137,R$2,Data!$K$3:$K$137,$B24)</f>
      </c>
      <c r="S24" s="466">
        <f>SUMIFS(Data!$S$3:$S$137,Data!$O$3:$O$137,S$1,Data!$P$3:$P$137,S$2,Data!$K$3:$K$137,$B24)</f>
      </c>
      <c r="T24" s="466">
        <f>SUMIFS(Data!$S$3:$S$137,Data!$O$3:$O$137,T$1,Data!$P$3:$P$137,T$2,Data!$K$3:$K$137,$B24)</f>
      </c>
      <c r="U24" s="3"/>
      <c r="V24" s="466">
        <f>E24</f>
      </c>
      <c r="W24" s="466">
        <f>F24</f>
      </c>
      <c r="X24" s="466">
        <f>G24</f>
      </c>
      <c r="Y24" s="466">
        <f>$G24</f>
      </c>
      <c r="Z24" s="466">
        <f>$G24</f>
      </c>
      <c r="AA24" s="466">
        <f>$G24</f>
      </c>
      <c r="AB24" s="466">
        <f>$G24</f>
      </c>
      <c r="AC24" s="466">
        <f>$G24</f>
      </c>
      <c r="AD24" s="466">
        <f>$G24</f>
      </c>
      <c r="AE24" s="466">
        <f>$G24</f>
      </c>
      <c r="AF24" s="466">
        <f>$G24</f>
      </c>
      <c r="AG24" s="466"/>
      <c r="AH24" s="466">
        <f>IFERROR(1/AH$3,1)*SUMIFS(Data!$S$3:$S$137,Data!$O$3:$O$137,AH$1,Data!$P$3:$P$137,IF(RIGHT(AH$2,3)="YTD","&lt;="&amp;LEFT(AH$2,2)*1,AH$2),Data!$K$3:$K$137,$B24)</f>
      </c>
      <c r="AI24" s="466">
        <f>AM24/12*LEFT(AI$2,2)*1</f>
      </c>
      <c r="AJ24" s="467">
        <f>AH24-AI24</f>
      </c>
      <c r="AK24" s="3"/>
      <c r="AL24" s="466">
        <v>2741614</v>
      </c>
      <c r="AM24" s="466">
        <v>0</v>
      </c>
      <c r="AN24" s="3"/>
      <c r="AO24" s="3"/>
      <c r="AP24" s="3"/>
      <c r="AQ24" s="3"/>
      <c r="AR24" s="3"/>
      <c r="AS24" s="3"/>
      <c r="AT24" s="3"/>
      <c r="AU24" s="3"/>
    </row>
    <row x14ac:dyDescent="0.25" r="25" customHeight="1" ht="19.5" hidden="1">
      <c r="A25" s="3"/>
      <c r="B25" s="41" t="s">
        <v>552</v>
      </c>
      <c r="C25" s="468"/>
      <c r="D25" s="3"/>
      <c r="E25" s="469"/>
      <c r="F25" s="469"/>
      <c r="G25" s="469"/>
      <c r="H25" s="3"/>
      <c r="I25" s="469">
        <f>SUM(I15:I24)</f>
      </c>
      <c r="J25" s="469">
        <f>SUM(J15:J24)</f>
      </c>
      <c r="K25" s="469">
        <f>SUM(K15:K24)</f>
      </c>
      <c r="L25" s="469">
        <f>SUM(L15:L24)</f>
      </c>
      <c r="M25" s="469">
        <f>SUM(M15:M24)</f>
      </c>
      <c r="N25" s="469">
        <f>SUM(N15:N24)</f>
      </c>
      <c r="O25" s="469">
        <f>SUM(O15:O24)</f>
      </c>
      <c r="P25" s="469">
        <f>SUM(P15:P24)</f>
      </c>
      <c r="Q25" s="469">
        <f>SUM(Q15:Q24)</f>
      </c>
      <c r="R25" s="469">
        <f>SUM(R15:R24)</f>
      </c>
      <c r="S25" s="469">
        <f>SUM(S15:S24)</f>
      </c>
      <c r="T25" s="469">
        <f>SUM(T15:T24)</f>
      </c>
      <c r="U25" s="469"/>
      <c r="V25" s="469">
        <f>SUM(V15:V24)</f>
      </c>
      <c r="W25" s="469">
        <f>SUM(W15:W24)</f>
      </c>
      <c r="X25" s="469">
        <f>SUM(X15:X24)</f>
      </c>
      <c r="Y25" s="469">
        <f>SUM(Y15:Y24)</f>
      </c>
      <c r="Z25" s="469">
        <f>SUM(Z15:Z24)</f>
      </c>
      <c r="AA25" s="469">
        <f>SUM(AA15:AA24)</f>
      </c>
      <c r="AB25" s="469"/>
      <c r="AC25" s="469"/>
      <c r="AD25" s="469"/>
      <c r="AE25" s="466">
        <f>$G25</f>
      </c>
      <c r="AF25" s="466">
        <f>$G25</f>
      </c>
      <c r="AG25" s="469"/>
      <c r="AH25" s="466">
        <f>SUM(AH15:AH24)</f>
      </c>
      <c r="AI25" s="466">
        <f>SUM(AI15:AI24)</f>
      </c>
      <c r="AJ25" s="467">
        <f>SUM(AJ15:AJ24)</f>
      </c>
      <c r="AK25" s="3"/>
      <c r="AL25" s="469">
        <f>SUM(AL15:AL24)</f>
      </c>
      <c r="AM25" s="469">
        <f>SUM(AM15:AM24)</f>
      </c>
      <c r="AN25" s="3"/>
      <c r="AO25" s="3"/>
      <c r="AP25" s="3"/>
      <c r="AQ25" s="3"/>
      <c r="AR25" s="3"/>
      <c r="AS25" s="3"/>
      <c r="AT25" s="3"/>
      <c r="AU25" s="3"/>
    </row>
    <row x14ac:dyDescent="0.25" r="26" customHeight="1" ht="19.5" hidden="1">
      <c r="A26" s="3"/>
      <c r="B26" s="470" t="s">
        <v>553</v>
      </c>
      <c r="C26" s="470" t="s">
        <v>535</v>
      </c>
      <c r="D26" s="3"/>
      <c r="E26" s="471">
        <f>AL26/12*LEFT($F$2,2)</f>
      </c>
      <c r="F26" s="471">
        <f>SUM(I26:T26)/LEFT($F$2,2)</f>
      </c>
      <c r="G26" s="471">
        <f>AL26/12</f>
      </c>
      <c r="H26" s="3"/>
      <c r="I26" s="471">
        <f>Reporting!C65</f>
      </c>
      <c r="J26" s="471">
        <f>Reporting!D65</f>
      </c>
      <c r="K26" s="471">
        <f>Reporting!E65</f>
      </c>
      <c r="L26" s="471">
        <f>Reporting!F65</f>
      </c>
      <c r="M26" s="471">
        <f>Reporting!G65</f>
      </c>
      <c r="N26" s="471">
        <f>Reporting!H65</f>
      </c>
      <c r="O26" s="471">
        <f>Reporting!I65</f>
      </c>
      <c r="P26" s="471">
        <f>Reporting!J65</f>
      </c>
      <c r="Q26" s="471">
        <f>Reporting!K65</f>
      </c>
      <c r="R26" s="471">
        <f>Reporting!L65</f>
      </c>
      <c r="S26" s="471">
        <f>Reporting!M65</f>
      </c>
      <c r="T26" s="471">
        <f>Reporting!N65</f>
      </c>
      <c r="U26" s="3"/>
      <c r="V26" s="471">
        <f>E27</f>
      </c>
      <c r="W26" s="471">
        <f>F27</f>
      </c>
      <c r="X26" s="471">
        <f>G27</f>
      </c>
      <c r="Y26" s="471">
        <f>$G$26</f>
      </c>
      <c r="Z26" s="471">
        <f>$G$26</f>
      </c>
      <c r="AA26" s="471">
        <f>$G$26</f>
      </c>
      <c r="AB26" s="471">
        <f>$G$26</f>
      </c>
      <c r="AC26" s="471">
        <f>$G$26</f>
      </c>
      <c r="AD26" s="471">
        <f>$G$26</f>
      </c>
      <c r="AE26" s="471">
        <f>$G$26</f>
      </c>
      <c r="AF26" s="471">
        <f>$G$26</f>
      </c>
      <c r="AG26" s="471"/>
      <c r="AH26" s="471">
        <f>SUM(I26:T26)</f>
      </c>
      <c r="AI26" s="471">
        <f>AM26/12*$C$5</f>
      </c>
      <c r="AJ26" s="472">
        <f>AH26-AI26</f>
      </c>
      <c r="AK26" s="3"/>
      <c r="AL26" s="471">
        <v>2741614</v>
      </c>
      <c r="AM26" s="490">
        <v>6630000</v>
      </c>
      <c r="AN26" s="3"/>
      <c r="AO26" s="3"/>
      <c r="AP26" s="3"/>
      <c r="AQ26" s="3"/>
      <c r="AR26" s="3"/>
      <c r="AS26" s="3"/>
      <c r="AT26" s="3"/>
      <c r="AU26" s="3"/>
    </row>
    <row x14ac:dyDescent="0.25" r="27" customHeight="1" ht="19.5" hidden="1">
      <c r="A27" s="3"/>
      <c r="B27" s="41"/>
      <c r="C27" s="41" t="s">
        <v>535</v>
      </c>
      <c r="D27" s="3"/>
      <c r="E27" s="469"/>
      <c r="F27" s="469"/>
      <c r="G27" s="469"/>
      <c r="H27" s="3"/>
      <c r="I27" s="469">
        <f>I25+I26</f>
      </c>
      <c r="J27" s="469">
        <f>J25+J26</f>
      </c>
      <c r="K27" s="469">
        <f>K25+K26</f>
      </c>
      <c r="L27" s="469">
        <f>L25+L26</f>
      </c>
      <c r="M27" s="469">
        <f>M25+M26</f>
      </c>
      <c r="N27" s="469">
        <f>N25+N26</f>
      </c>
      <c r="O27" s="469">
        <f>O25+O26</f>
      </c>
      <c r="P27" s="469">
        <f>P25+P26</f>
      </c>
      <c r="Q27" s="469">
        <f>Q25+Q26</f>
      </c>
      <c r="R27" s="469">
        <f>R25+R26</f>
      </c>
      <c r="S27" s="469">
        <f>S25+S26</f>
      </c>
      <c r="T27" s="469">
        <f>T25+T26</f>
      </c>
      <c r="U27" s="469"/>
      <c r="V27" s="469">
        <f>V25+V26</f>
      </c>
      <c r="W27" s="469">
        <f>W25+W26</f>
      </c>
      <c r="X27" s="469">
        <f>X25+X26</f>
      </c>
      <c r="Y27" s="469">
        <f>Y25+Y26</f>
      </c>
      <c r="Z27" s="469">
        <f>Z25+Z26</f>
      </c>
      <c r="AA27" s="469">
        <f>AA25+AA26</f>
      </c>
      <c r="AB27" s="473"/>
      <c r="AC27" s="473"/>
      <c r="AD27" s="473"/>
      <c r="AE27" s="473"/>
      <c r="AF27" s="473"/>
      <c r="AG27" s="473"/>
      <c r="AH27" s="469">
        <f>SUM(I27:K27)</f>
      </c>
      <c r="AI27" s="469"/>
      <c r="AJ27" s="473"/>
      <c r="AK27" s="3"/>
      <c r="AL27" s="469">
        <f>SUM(M27:O27)</f>
      </c>
      <c r="AM27" s="473"/>
      <c r="AN27" s="3"/>
      <c r="AO27" s="3"/>
      <c r="AP27" s="3"/>
      <c r="AQ27" s="3"/>
      <c r="AR27" s="3"/>
      <c r="AS27" s="3"/>
      <c r="AT27" s="3"/>
      <c r="AU27" s="3"/>
    </row>
    <row x14ac:dyDescent="0.25" r="28" customHeight="1" ht="19.5">
      <c r="A28" s="3"/>
      <c r="B28" s="41"/>
      <c r="C28" s="41"/>
      <c r="D28" s="3"/>
      <c r="E28" s="469"/>
      <c r="F28" s="469"/>
      <c r="G28" s="469"/>
      <c r="H28" s="3"/>
      <c r="I28" s="469"/>
      <c r="J28" s="469"/>
      <c r="K28" s="469"/>
      <c r="L28" s="469"/>
      <c r="M28" s="469"/>
      <c r="N28" s="469"/>
      <c r="O28" s="469"/>
      <c r="P28" s="469"/>
      <c r="Q28" s="469"/>
      <c r="R28" s="469"/>
      <c r="S28" s="469"/>
      <c r="T28" s="469"/>
      <c r="U28" s="3"/>
      <c r="V28" s="473"/>
      <c r="W28" s="473"/>
      <c r="X28" s="473"/>
      <c r="Y28" s="473"/>
      <c r="Z28" s="473"/>
      <c r="AA28" s="473"/>
      <c r="AB28" s="473"/>
      <c r="AC28" s="473"/>
      <c r="AD28" s="473"/>
      <c r="AE28" s="473"/>
      <c r="AF28" s="473"/>
      <c r="AG28" s="473"/>
      <c r="AH28" s="469"/>
      <c r="AI28" s="469"/>
      <c r="AJ28" s="473"/>
      <c r="AK28" s="3"/>
      <c r="AL28" s="469"/>
      <c r="AM28" s="473"/>
      <c r="AN28" s="3"/>
      <c r="AO28" s="3"/>
      <c r="AP28" s="3"/>
      <c r="AQ28" s="3"/>
      <c r="AR28" s="3"/>
      <c r="AS28" s="3"/>
      <c r="AT28" s="3"/>
      <c r="AU28" s="3"/>
    </row>
    <row x14ac:dyDescent="0.25" r="29" customHeight="1" ht="19.5">
      <c r="A29" s="3"/>
      <c r="B29" s="33"/>
      <c r="C29" s="3"/>
      <c r="D29" s="3"/>
      <c r="E29" s="474"/>
      <c r="F29" s="474"/>
      <c r="G29" s="475"/>
      <c r="H29" s="3"/>
      <c r="I29" s="475"/>
      <c r="J29" s="475"/>
      <c r="K29" s="475"/>
      <c r="L29" s="475"/>
      <c r="M29" s="475"/>
      <c r="N29" s="475"/>
      <c r="O29" s="475"/>
      <c r="P29" s="475"/>
      <c r="Q29" s="475"/>
      <c r="R29" s="475"/>
      <c r="S29" s="475"/>
      <c r="T29" s="475"/>
      <c r="U29" s="3"/>
      <c r="V29" s="475"/>
      <c r="W29" s="475"/>
      <c r="X29" s="475"/>
      <c r="Y29" s="439"/>
      <c r="Z29" s="439"/>
      <c r="AA29" s="439"/>
      <c r="AB29" s="439"/>
      <c r="AC29" s="439"/>
      <c r="AD29" s="439"/>
      <c r="AE29" s="439"/>
      <c r="AF29" s="439"/>
      <c r="AG29" s="466"/>
      <c r="AH29" s="439"/>
      <c r="AI29" s="439"/>
      <c r="AJ29" s="476"/>
      <c r="AK29" s="3"/>
      <c r="AL29" s="439"/>
      <c r="AM29" s="439"/>
      <c r="AN29" s="3"/>
      <c r="AO29" s="3"/>
      <c r="AP29" s="3"/>
      <c r="AQ29" s="3"/>
      <c r="AR29" s="3"/>
      <c r="AS29" s="3"/>
      <c r="AT29" s="3"/>
      <c r="AU29" s="3"/>
    </row>
    <row x14ac:dyDescent="0.25" r="30" customHeight="1" ht="19.5">
      <c r="A30" s="3"/>
      <c r="B30" s="3"/>
      <c r="C30" s="468"/>
      <c r="D30" s="3"/>
      <c r="E30" s="445" t="s">
        <v>514</v>
      </c>
      <c r="F30" s="448" t="s">
        <v>575</v>
      </c>
      <c r="G30" s="447" t="s">
        <v>575</v>
      </c>
      <c r="H30" s="3"/>
      <c r="I30" s="448">
        <f>TEXT(I$2,"00")&amp;" "&amp;I$1</f>
      </c>
      <c r="J30" s="448">
        <f>TEXT(J$2,"00")&amp;" "&amp;J$1</f>
      </c>
      <c r="K30" s="448">
        <f>TEXT(K$2,"00")&amp;" "&amp;K$1</f>
      </c>
      <c r="L30" s="448">
        <f>TEXT(L$2,"00")&amp;" "&amp;L$1</f>
      </c>
      <c r="M30" s="448">
        <f>TEXT(M$2,"00")&amp;" "&amp;M$1</f>
      </c>
      <c r="N30" s="448">
        <f>TEXT(N$2,"00")&amp;" "&amp;N$1</f>
      </c>
      <c r="O30" s="448">
        <f>TEXT(O$2,"00")&amp;" "&amp;O$1</f>
      </c>
      <c r="P30" s="448">
        <f>TEXT(P$2,"00")&amp;" "&amp;P$1</f>
      </c>
      <c r="Q30" s="448">
        <f>TEXT(Q$2,"00")&amp;" "&amp;Q$1</f>
      </c>
      <c r="R30" s="448">
        <f>TEXT(R$2,"00")&amp;" "&amp;R$1</f>
      </c>
      <c r="S30" s="448">
        <f>TEXT(S$2,"00")&amp;" "&amp;S$1</f>
      </c>
      <c r="T30" s="448">
        <f>TEXT(T$2,"00")&amp;" "&amp;T$1</f>
      </c>
      <c r="U30" s="3"/>
      <c r="V30" s="488">
        <f>TEXT(V$2,"00")&amp;" "&amp;V$1</f>
      </c>
      <c r="W30" s="488">
        <f>TEXT(W$2,"00")&amp;" "&amp;W$1</f>
      </c>
      <c r="X30" s="488">
        <f>TEXT(X$2,"00")&amp;" "&amp;X$1</f>
      </c>
      <c r="Y30" s="488">
        <f>TEXT(Y$2,"00")&amp;" "&amp;Y$1</f>
      </c>
      <c r="Z30" s="488">
        <f>TEXT(Z$2,"00")&amp;" "&amp;Z$1</f>
      </c>
      <c r="AA30" s="488">
        <f>TEXT(AA$2,"00")&amp;" "&amp;AA$1</f>
      </c>
      <c r="AB30" s="488">
        <f>TEXT(AB$2,"00")&amp;" "&amp;AB$1</f>
      </c>
      <c r="AC30" s="488">
        <f>TEXT(AC$2,"00")&amp;" "&amp;AC$1</f>
      </c>
      <c r="AD30" s="488">
        <f>TEXT(AD$2,"00")&amp;" "&amp;AD$1</f>
      </c>
      <c r="AE30" s="488">
        <f>TEXT(AE$2,"00")&amp;" "&amp;AE$1</f>
      </c>
      <c r="AF30" s="488">
        <f>TEXT(AF$2,"00")&amp;" "&amp;AF$1</f>
      </c>
      <c r="AG30" s="469"/>
      <c r="AH30" s="448">
        <f>AH$2&amp;" "&amp;AH$1</f>
      </c>
      <c r="AI30" s="454">
        <f>AI$2&amp;" "&amp;AI$1</f>
      </c>
      <c r="AJ30" s="455">
        <f>AJ$2&amp;" "&amp;AJ$1</f>
      </c>
      <c r="AK30" s="3"/>
      <c r="AL30" s="456">
        <f>AL$2&amp;" "&amp;AL$1</f>
      </c>
      <c r="AM30" s="454">
        <f>AM$2&amp;" "&amp;AM$1</f>
      </c>
      <c r="AN30" s="3"/>
      <c r="AO30" s="3"/>
      <c r="AP30" s="3"/>
      <c r="AQ30" s="3"/>
      <c r="AR30" s="3"/>
      <c r="AS30" s="3"/>
      <c r="AT30" s="3"/>
      <c r="AU30" s="3"/>
    </row>
    <row x14ac:dyDescent="0.25" r="31" customHeight="1" ht="19.5">
      <c r="A31" s="3"/>
      <c r="B31" s="33"/>
      <c r="C31" s="195"/>
      <c r="D31" s="3"/>
      <c r="E31" s="445" t="s">
        <v>40</v>
      </c>
      <c r="F31" s="448" t="s">
        <v>40</v>
      </c>
      <c r="G31" s="447" t="s">
        <v>441</v>
      </c>
      <c r="H31" s="3"/>
      <c r="I31" s="450" t="s">
        <v>40</v>
      </c>
      <c r="J31" s="450" t="s">
        <v>40</v>
      </c>
      <c r="K31" s="450" t="s">
        <v>40</v>
      </c>
      <c r="L31" s="450" t="s">
        <v>40</v>
      </c>
      <c r="M31" s="448" t="s">
        <v>40</v>
      </c>
      <c r="N31" s="448" t="s">
        <v>40</v>
      </c>
      <c r="O31" s="448" t="s">
        <v>40</v>
      </c>
      <c r="P31" s="448" t="s">
        <v>40</v>
      </c>
      <c r="Q31" s="448" t="s">
        <v>40</v>
      </c>
      <c r="R31" s="448" t="s">
        <v>40</v>
      </c>
      <c r="S31" s="448" t="s">
        <v>40</v>
      </c>
      <c r="T31" s="448" t="s">
        <v>40</v>
      </c>
      <c r="U31" s="3"/>
      <c r="V31" s="452" t="s">
        <v>528</v>
      </c>
      <c r="W31" s="452" t="s">
        <v>528</v>
      </c>
      <c r="X31" s="452" t="s">
        <v>528</v>
      </c>
      <c r="Y31" s="452" t="s">
        <v>528</v>
      </c>
      <c r="Z31" s="452" t="s">
        <v>528</v>
      </c>
      <c r="AA31" s="452" t="s">
        <v>528</v>
      </c>
      <c r="AB31" s="452" t="s">
        <v>528</v>
      </c>
      <c r="AC31" s="452" t="s">
        <v>528</v>
      </c>
      <c r="AD31" s="452" t="s">
        <v>528</v>
      </c>
      <c r="AE31" s="452" t="s">
        <v>528</v>
      </c>
      <c r="AF31" s="452" t="s">
        <v>528</v>
      </c>
      <c r="AG31" s="469"/>
      <c r="AH31" s="448" t="s">
        <v>529</v>
      </c>
      <c r="AI31" s="454" t="s">
        <v>530</v>
      </c>
      <c r="AJ31" s="455" t="s">
        <v>531</v>
      </c>
      <c r="AK31" s="3"/>
      <c r="AL31" s="457" t="s">
        <v>529</v>
      </c>
      <c r="AM31" s="458" t="s">
        <v>530</v>
      </c>
      <c r="AN31" s="3"/>
      <c r="AO31" s="3"/>
      <c r="AP31" s="3"/>
      <c r="AQ31" s="3"/>
      <c r="AR31" s="3"/>
      <c r="AS31" s="3"/>
      <c r="AT31" s="3"/>
      <c r="AU31" s="3"/>
    </row>
    <row x14ac:dyDescent="0.25" r="32" customHeight="1" ht="19.5">
      <c r="A32" s="3"/>
      <c r="B32" s="478" t="s">
        <v>584</v>
      </c>
      <c r="C32" s="66"/>
      <c r="D32" s="3"/>
      <c r="E32" s="460"/>
      <c r="F32" s="460"/>
      <c r="G32" s="461"/>
      <c r="H32" s="3"/>
      <c r="I32" s="461"/>
      <c r="J32" s="461"/>
      <c r="K32" s="461"/>
      <c r="L32" s="461"/>
      <c r="M32" s="461"/>
      <c r="N32" s="460"/>
      <c r="O32" s="460"/>
      <c r="P32" s="460"/>
      <c r="Q32" s="460"/>
      <c r="R32" s="460"/>
      <c r="S32" s="460"/>
      <c r="T32" s="460"/>
      <c r="U32" s="3"/>
      <c r="V32" s="489"/>
      <c r="W32" s="489"/>
      <c r="X32" s="489"/>
      <c r="Y32" s="460"/>
      <c r="Z32" s="460"/>
      <c r="AA32" s="460"/>
      <c r="AB32" s="460"/>
      <c r="AC32" s="460"/>
      <c r="AD32" s="460"/>
      <c r="AE32" s="460"/>
      <c r="AF32" s="462"/>
      <c r="AG32" s="462"/>
      <c r="AH32" s="463"/>
      <c r="AI32" s="464"/>
      <c r="AJ32" s="440"/>
      <c r="AK32" s="3"/>
      <c r="AL32" s="463"/>
      <c r="AM32" s="465"/>
      <c r="AN32" s="3"/>
      <c r="AO32" s="3"/>
      <c r="AP32" s="3"/>
      <c r="AQ32" s="3"/>
      <c r="AR32" s="3"/>
      <c r="AS32" s="3"/>
      <c r="AT32" s="3"/>
      <c r="AU32" s="3"/>
    </row>
    <row x14ac:dyDescent="0.25" r="33" customHeight="1" ht="19.5">
      <c r="A33" s="33" t="s">
        <v>305</v>
      </c>
      <c r="B33" s="33" t="s">
        <v>577</v>
      </c>
      <c r="C33" s="195" t="s">
        <v>535</v>
      </c>
      <c r="D33" s="3"/>
      <c r="E33" s="466">
        <f>$AL33/E$3</f>
      </c>
      <c r="F33" s="466">
        <f>IFERROR(1/F$3,1)*SUMIFS(Data!$AD$3:$AD$137,Data!$Y$3:$Y$137,F$1,Data!$Z$3:$Z$137,IF(RIGHT(F$2,3)="YTD","&lt;="&amp;LEFT(F$2,2)*1,F$2),Data!$K$3:$K$137,$B33)</f>
      </c>
      <c r="G33" s="466">
        <f>AM33/12</f>
      </c>
      <c r="H33" s="476"/>
      <c r="I33" s="466">
        <f>IFERROR(1/I$3,1)*SUMIFS(tbl_DCFC[F Montant HT],tbl_DCFC[Revenue_Year],I$1,tbl_DCFC[Revenue_Month],IF(RIGHT(I$2,3)="YTD","&lt;="&amp;LEFT(I$2,2)*1,I$2),tbl_DCFC[BU_Key],$A33)</f>
      </c>
      <c r="J33" s="466">
        <f>IFERROR(1/J$3,1)*SUMIFS(tbl_DCFC[F Montant HT],tbl_DCFC[Revenue_Year],J$1,tbl_DCFC[Revenue_Month],IF(RIGHT(J$2,3)="YTD","&lt;="&amp;LEFT(J$2,2)*1,J$2),tbl_DCFC[BU_Key],$A33)</f>
      </c>
      <c r="K33" s="466">
        <f>IFERROR(1/K$3,1)*SUMIFS(tbl_DCFC[F Montant HT],tbl_DCFC[Revenue_Year],K$1,tbl_DCFC[Revenue_Month],IF(RIGHT(K$2,3)="YTD","&lt;="&amp;LEFT(K$2,2)*1,K$2),tbl_DCFC[BU_Key],$A33)</f>
      </c>
      <c r="L33" s="466">
        <f>IFERROR(1/L$3,1)*SUMIFS(tbl_DCFC[F Montant HT],tbl_DCFC[Revenue_Year],L$1,tbl_DCFC[Revenue_Month],IF(RIGHT(L$2,3)="YTD","&lt;="&amp;LEFT(L$2,2)*1,L$2),tbl_DCFC[BU_Key],$A33)</f>
      </c>
      <c r="M33" s="466">
        <f>IFERROR(1/M$3,1)*SUMIFS(tbl_DCFC[F Montant HT],tbl_DCFC[Revenue_Year],M$1,tbl_DCFC[Revenue_Month],IF(RIGHT(M$2,3)="YTD","&lt;="&amp;LEFT(M$2,2)*1,M$2),tbl_DCFC[BU_Key],$A33)</f>
      </c>
      <c r="N33" s="466">
        <f>IFERROR(1/N$3,1)*SUMIFS(tbl_DCFC[F Montant HT],tbl_DCFC[Revenue_Year],N$1,tbl_DCFC[Revenue_Month],IF(RIGHT(N$2,3)="YTD","&lt;="&amp;LEFT(N$2,2)*1,N$2),tbl_DCFC[BU_Key],$A33)</f>
      </c>
      <c r="O33" s="466">
        <f>IFERROR(1/O$3,1)*SUMIFS(tbl_DCFC[F Montant HT],tbl_DCFC[Revenue_Year],O$1,tbl_DCFC[Revenue_Month],IF(RIGHT(O$2,3)="YTD","&lt;="&amp;LEFT(O$2,2)*1,O$2),tbl_DCFC[BU_Key],$A33)</f>
      </c>
      <c r="P33" s="466">
        <f>IFERROR(1/P$3,1)*SUMIFS(tbl_DCFC[F Montant HT],tbl_DCFC[Revenue_Year],P$1,tbl_DCFC[Revenue_Month],IF(RIGHT(P$2,3)="YTD","&lt;="&amp;LEFT(P$2,2)*1,P$2),tbl_DCFC[BU_Key],$A33)</f>
      </c>
      <c r="Q33" s="466">
        <f>IFERROR(1/Q$3,1)*SUMIFS(tbl_DCFC[F Montant HT],tbl_DCFC[Revenue_Year],Q$1,tbl_DCFC[Revenue_Month],IF(RIGHT(Q$2,3)="YTD","&lt;="&amp;LEFT(Q$2,2)*1,Q$2),tbl_DCFC[BU_Key],$A33)</f>
      </c>
      <c r="R33" s="466">
        <f>IFERROR(1/R$3,1)*SUMIFS(tbl_DCFC[F Montant HT],tbl_DCFC[Revenue_Year],R$1,tbl_DCFC[Revenue_Month],IF(RIGHT(R$2,3)="YTD","&lt;="&amp;LEFT(R$2,2)*1,R$2),tbl_DCFC[BU_Key],$A33)</f>
      </c>
      <c r="S33" s="466">
        <f>IFERROR(1/S$3,1)*SUMIFS(tbl_DCFC[F Montant HT],tbl_DCFC[Revenue_Year],S$1,tbl_DCFC[Revenue_Month],IF(RIGHT(S$2,3)="YTD","&lt;="&amp;LEFT(S$2,2)*1,S$2),tbl_DCFC[BU_Key],$A33)</f>
      </c>
      <c r="T33" s="466">
        <f>IFERROR(1/T$3,1)*SUMIFS(tbl_DCFC[F Montant HT],tbl_DCFC[Revenue_Year],T$1,tbl_DCFC[Revenue_Month],IF(RIGHT(T$2,3)="YTD","&lt;="&amp;LEFT(T$2,2)*1,T$2),tbl_DCFC[BU_Key],$A33)</f>
      </c>
      <c r="U33" s="3"/>
      <c r="V33" s="466">
        <f>E33</f>
      </c>
      <c r="W33" s="466">
        <f>F33</f>
      </c>
      <c r="X33" s="466">
        <f>G33</f>
      </c>
      <c r="Y33" s="466">
        <f>$G33</f>
      </c>
      <c r="Z33" s="466">
        <f>$G33</f>
      </c>
      <c r="AA33" s="466">
        <f>$G33</f>
      </c>
      <c r="AB33" s="466">
        <f>$G33</f>
      </c>
      <c r="AC33" s="466">
        <f>$G33</f>
      </c>
      <c r="AD33" s="466">
        <f>$G33</f>
      </c>
      <c r="AE33" s="466">
        <f>$G33</f>
      </c>
      <c r="AF33" s="466">
        <f>$G33</f>
      </c>
      <c r="AG33" s="466"/>
      <c r="AH33" s="466">
        <f>IFERROR(1/AH$3,1)*SUMIFS(tbl_DCFC[F Montant HT],tbl_DCFC[Revenue_Year],AH$1,tbl_DCFC[Revenue_Month],IF(RIGHT(AH$2,3)="YTD","&lt;="&amp;LEFT(AH$2,2)*1,AH$2),tbl_DCFC[BU_Key],$A33)</f>
      </c>
      <c r="AI33" s="466">
        <f>AM33/12*$C$5</f>
      </c>
      <c r="AJ33" s="467">
        <f>AH33-AI33</f>
      </c>
      <c r="AK33" s="3"/>
      <c r="AL33" s="466">
        <f>IFERROR(1/AL$3,1)*SUMIFS(tbl_DCFC[F Montant HT],tbl_DCFC[Revenue_Year],AL$1,tbl_DCFC[Revenue_Month],IF(RIGHT(AL$2,3)="YTD","&lt;="&amp;LEFT(AL$2,2)*1,AL$2),tbl_DCFC[BU_Key],$A33)</f>
      </c>
      <c r="AM33" s="466">
        <v>0</v>
      </c>
      <c r="AN33" s="3"/>
      <c r="AO33" s="3"/>
      <c r="AP33" s="3"/>
      <c r="AQ33" s="3"/>
      <c r="AR33" s="3"/>
      <c r="AS33" s="3"/>
      <c r="AT33" s="3"/>
      <c r="AU33" s="3"/>
    </row>
    <row x14ac:dyDescent="0.25" r="34" customHeight="1" ht="19.5">
      <c r="A34" s="3" t="s">
        <v>578</v>
      </c>
      <c r="B34" s="33" t="s">
        <v>579</v>
      </c>
      <c r="C34" s="195" t="s">
        <v>535</v>
      </c>
      <c r="D34" s="3"/>
      <c r="E34" s="466">
        <f>$AL34/E$3</f>
      </c>
      <c r="F34" s="466">
        <f>IFERROR(1/F$3,1)*SUMIFS(Data!$S$3:$S$137,Data!$O$3:$O$137,F$1,Data!$P$3:$P$137,IF(RIGHT(F$2,3)="YTD","&lt;="&amp;LEFT(F$2,2)*1,F$2),Data!$K$3:$K$137,$B34)</f>
      </c>
      <c r="G34" s="466">
        <f>AM34/12</f>
      </c>
      <c r="H34" s="3"/>
      <c r="I34" s="466">
        <f>IFERROR(1/I$3,1)*SUMIFS(tbl_DCFC[F Montant HT],tbl_DCFC[Revenue_Year],I$1,tbl_DCFC[Revenue_Month],IF(RIGHT(I$2,3)="YTD","&lt;="&amp;LEFT(I$2,2)*1,I$2),tbl_DCFC[BU_Key],$A34)</f>
      </c>
      <c r="J34" s="466">
        <f>IFERROR(1/J$3,1)*SUMIFS(tbl_DCFC[F Montant HT],tbl_DCFC[Revenue_Year],J$1,tbl_DCFC[Revenue_Month],IF(RIGHT(J$2,3)="YTD","&lt;="&amp;LEFT(J$2,2)*1,J$2),tbl_DCFC[BU_Key],$A34)</f>
      </c>
      <c r="K34" s="466">
        <f>IFERROR(1/K$3,1)*SUMIFS(tbl_DCFC[F Montant HT],tbl_DCFC[Revenue_Year],K$1,tbl_DCFC[Revenue_Month],IF(RIGHT(K$2,3)="YTD","&lt;="&amp;LEFT(K$2,2)*1,K$2),tbl_DCFC[BU_Key],$A34)</f>
      </c>
      <c r="L34" s="466">
        <f>IFERROR(1/L$3,1)*SUMIFS(tbl_DCFC[F Montant HT],tbl_DCFC[Revenue_Year],L$1,tbl_DCFC[Revenue_Month],IF(RIGHT(L$2,3)="YTD","&lt;="&amp;LEFT(L$2,2)*1,L$2),tbl_DCFC[BU_Key],$A34)</f>
      </c>
      <c r="M34" s="466">
        <f>IFERROR(1/M$3,1)*SUMIFS(tbl_DCFC[F Montant HT],tbl_DCFC[Revenue_Year],M$1,tbl_DCFC[Revenue_Month],IF(RIGHT(M$2,3)="YTD","&lt;="&amp;LEFT(M$2,2)*1,M$2),tbl_DCFC[BU_Key],$A34)</f>
      </c>
      <c r="N34" s="466">
        <f>IFERROR(1/N$3,1)*SUMIFS(tbl_DCFC[F Montant HT],tbl_DCFC[Revenue_Year],N$1,tbl_DCFC[Revenue_Month],IF(RIGHT(N$2,3)="YTD","&lt;="&amp;LEFT(N$2,2)*1,N$2),tbl_DCFC[BU_Key],$A34)</f>
      </c>
      <c r="O34" s="466">
        <f>IFERROR(1/O$3,1)*SUMIFS(tbl_DCFC[F Montant HT],tbl_DCFC[Revenue_Year],O$1,tbl_DCFC[Revenue_Month],IF(RIGHT(O$2,3)="YTD","&lt;="&amp;LEFT(O$2,2)*1,O$2),tbl_DCFC[BU_Key],$A34)</f>
      </c>
      <c r="P34" s="466">
        <f>IFERROR(1/P$3,1)*SUMIFS(tbl_DCFC[F Montant HT],tbl_DCFC[Revenue_Year],P$1,tbl_DCFC[Revenue_Month],IF(RIGHT(P$2,3)="YTD","&lt;="&amp;LEFT(P$2,2)*1,P$2),tbl_DCFC[BU_Key],$A34)</f>
      </c>
      <c r="Q34" s="466">
        <f>IFERROR(1/Q$3,1)*SUMIFS(tbl_DCFC[F Montant HT],tbl_DCFC[Revenue_Year],Q$1,tbl_DCFC[Revenue_Month],IF(RIGHT(Q$2,3)="YTD","&lt;="&amp;LEFT(Q$2,2)*1,Q$2),tbl_DCFC[BU_Key],$A34)</f>
      </c>
      <c r="R34" s="466">
        <f>IFERROR(1/R$3,1)*SUMIFS(tbl_DCFC[F Montant HT],tbl_DCFC[Revenue_Year],R$1,tbl_DCFC[Revenue_Month],IF(RIGHT(R$2,3)="YTD","&lt;="&amp;LEFT(R$2,2)*1,R$2),tbl_DCFC[BU_Key],$A34)</f>
      </c>
      <c r="S34" s="466">
        <f>IFERROR(1/S$3,1)*SUMIFS(tbl_DCFC[F Montant HT],tbl_DCFC[Revenue_Year],S$1,tbl_DCFC[Revenue_Month],IF(RIGHT(S$2,3)="YTD","&lt;="&amp;LEFT(S$2,2)*1,S$2),tbl_DCFC[BU_Key],$A34)</f>
      </c>
      <c r="T34" s="466">
        <f>IFERROR(1/T$3,1)*SUMIFS(tbl_DCFC[F Montant HT],tbl_DCFC[Revenue_Year],T$1,tbl_DCFC[Revenue_Month],IF(RIGHT(T$2,3)="YTD","&lt;="&amp;LEFT(T$2,2)*1,T$2),tbl_DCFC[BU_Key],$A34)</f>
      </c>
      <c r="U34" s="3"/>
      <c r="V34" s="466">
        <f>E34</f>
      </c>
      <c r="W34" s="466">
        <f>F34</f>
      </c>
      <c r="X34" s="466">
        <f>G34</f>
      </c>
      <c r="Y34" s="466">
        <f>$G34</f>
      </c>
      <c r="Z34" s="466">
        <f>$G34</f>
      </c>
      <c r="AA34" s="466">
        <f>$G34</f>
      </c>
      <c r="AB34" s="466">
        <f>$G34</f>
      </c>
      <c r="AC34" s="466">
        <f>$G34</f>
      </c>
      <c r="AD34" s="466">
        <f>$G34</f>
      </c>
      <c r="AE34" s="466">
        <f>$G34</f>
      </c>
      <c r="AF34" s="466">
        <f>$G34</f>
      </c>
      <c r="AG34" s="466"/>
      <c r="AH34" s="466">
        <f>IFERROR(1/AH$3,1)*SUMIFS(tbl_DCFC[F Montant HT],tbl_DCFC[Revenue_Year],AH$1,tbl_DCFC[Revenue_Month],IF(RIGHT(AH$2,3)="YTD","&lt;="&amp;LEFT(AH$2,2)*1,AH$2),tbl_DCFC[BU_Key],$A34)</f>
      </c>
      <c r="AI34" s="466">
        <f>AM34/12*LEFT(AI$2,2)*1</f>
      </c>
      <c r="AJ34" s="467">
        <f>AH34-AI34</f>
      </c>
      <c r="AK34" s="3"/>
      <c r="AL34" s="466">
        <f>IFERROR(1/AL$3,1)*SUMIFS(tbl_DCFC[F Montant HT],tbl_DCFC[Revenue_Year],AL$1,tbl_DCFC[Revenue_Month],IF(RIGHT(AL$2,3)="YTD","&lt;="&amp;LEFT(AL$2,2)*1,AL$2),tbl_DCFC[BU_Key],$A34)</f>
      </c>
      <c r="AM34" s="466">
        <v>0</v>
      </c>
      <c r="AN34" s="3"/>
      <c r="AO34" s="3"/>
      <c r="AP34" s="3"/>
      <c r="AQ34" s="3"/>
      <c r="AR34" s="3"/>
      <c r="AS34" s="3"/>
      <c r="AT34" s="3"/>
      <c r="AU34" s="3"/>
    </row>
    <row x14ac:dyDescent="0.25" r="35" customHeight="1" ht="19.5">
      <c r="A35" s="33" t="s">
        <v>580</v>
      </c>
      <c r="B35" s="33" t="s">
        <v>581</v>
      </c>
      <c r="C35" s="195" t="s">
        <v>535</v>
      </c>
      <c r="D35" s="3"/>
      <c r="E35" s="466">
        <f>$AL35/E$3</f>
      </c>
      <c r="F35" s="466">
        <f>IFERROR(1/F$3,1)*SUMIFS(Data!$S$3:$S$137,Data!$O$3:$O$137,F$1,Data!$P$3:$P$137,IF(RIGHT(F$2,3)="YTD","&lt;="&amp;LEFT(F$2,2)*1,F$2),Data!$K$3:$K$137,$B35)</f>
      </c>
      <c r="G35" s="466">
        <f>AM35/12</f>
      </c>
      <c r="H35" s="3"/>
      <c r="I35" s="466">
        <f>IFERROR(1/I$3,1)*SUMIFS(tbl_DCFC[F Montant HT],tbl_DCFC[Revenue_Year],I$1,tbl_DCFC[Revenue_Month],IF(RIGHT(I$2,3)="YTD","&lt;="&amp;LEFT(I$2,2)*1,I$2),tbl_DCFC[BU_Key],$A35)</f>
      </c>
      <c r="J35" s="466">
        <f>IFERROR(1/J$3,1)*SUMIFS(tbl_DCFC[F Montant HT],tbl_DCFC[Revenue_Year],J$1,tbl_DCFC[Revenue_Month],IF(RIGHT(J$2,3)="YTD","&lt;="&amp;LEFT(J$2,2)*1,J$2),tbl_DCFC[BU_Key],$A35)</f>
      </c>
      <c r="K35" s="466">
        <f>IFERROR(1/K$3,1)*SUMIFS(tbl_DCFC[F Montant HT],tbl_DCFC[Revenue_Year],K$1,tbl_DCFC[Revenue_Month],IF(RIGHT(K$2,3)="YTD","&lt;="&amp;LEFT(K$2,2)*1,K$2),tbl_DCFC[BU_Key],$A35)</f>
      </c>
      <c r="L35" s="466">
        <f>IFERROR(1/L$3,1)*SUMIFS(tbl_DCFC[F Montant HT],tbl_DCFC[Revenue_Year],L$1,tbl_DCFC[Revenue_Month],IF(RIGHT(L$2,3)="YTD","&lt;="&amp;LEFT(L$2,2)*1,L$2),tbl_DCFC[BU_Key],$A35)</f>
      </c>
      <c r="M35" s="466">
        <f>IFERROR(1/M$3,1)*SUMIFS(tbl_DCFC[F Montant HT],tbl_DCFC[Revenue_Year],M$1,tbl_DCFC[Revenue_Month],IF(RIGHT(M$2,3)="YTD","&lt;="&amp;LEFT(M$2,2)*1,M$2),tbl_DCFC[BU_Key],$A35)</f>
      </c>
      <c r="N35" s="466">
        <f>IFERROR(1/N$3,1)*SUMIFS(tbl_DCFC[F Montant HT],tbl_DCFC[Revenue_Year],N$1,tbl_DCFC[Revenue_Month],IF(RIGHT(N$2,3)="YTD","&lt;="&amp;LEFT(N$2,2)*1,N$2),tbl_DCFC[BU_Key],$A35)</f>
      </c>
      <c r="O35" s="466">
        <f>IFERROR(1/O$3,1)*SUMIFS(tbl_DCFC[F Montant HT],tbl_DCFC[Revenue_Year],O$1,tbl_DCFC[Revenue_Month],IF(RIGHT(O$2,3)="YTD","&lt;="&amp;LEFT(O$2,2)*1,O$2),tbl_DCFC[BU_Key],$A35)</f>
      </c>
      <c r="P35" s="466">
        <f>IFERROR(1/P$3,1)*SUMIFS(tbl_DCFC[F Montant HT],tbl_DCFC[Revenue_Year],P$1,tbl_DCFC[Revenue_Month],IF(RIGHT(P$2,3)="YTD","&lt;="&amp;LEFT(P$2,2)*1,P$2),tbl_DCFC[BU_Key],$A35)</f>
      </c>
      <c r="Q35" s="466">
        <f>IFERROR(1/Q$3,1)*SUMIFS(tbl_DCFC[F Montant HT],tbl_DCFC[Revenue_Year],Q$1,tbl_DCFC[Revenue_Month],IF(RIGHT(Q$2,3)="YTD","&lt;="&amp;LEFT(Q$2,2)*1,Q$2),tbl_DCFC[BU_Key],$A35)</f>
      </c>
      <c r="R35" s="466">
        <f>IFERROR(1/R$3,1)*SUMIFS(tbl_DCFC[F Montant HT],tbl_DCFC[Revenue_Year],R$1,tbl_DCFC[Revenue_Month],IF(RIGHT(R$2,3)="YTD","&lt;="&amp;LEFT(R$2,2)*1,R$2),tbl_DCFC[BU_Key],$A35)</f>
      </c>
      <c r="S35" s="466">
        <f>IFERROR(1/S$3,1)*SUMIFS(tbl_DCFC[F Montant HT],tbl_DCFC[Revenue_Year],S$1,tbl_DCFC[Revenue_Month],IF(RIGHT(S$2,3)="YTD","&lt;="&amp;LEFT(S$2,2)*1,S$2),tbl_DCFC[BU_Key],$A35)</f>
      </c>
      <c r="T35" s="466">
        <f>IFERROR(1/T$3,1)*SUMIFS(tbl_DCFC[F Montant HT],tbl_DCFC[Revenue_Year],T$1,tbl_DCFC[Revenue_Month],IF(RIGHT(T$2,3)="YTD","&lt;="&amp;LEFT(T$2,2)*1,T$2),tbl_DCFC[BU_Key],$A35)</f>
      </c>
      <c r="U35" s="3"/>
      <c r="V35" s="466">
        <f>E35</f>
      </c>
      <c r="W35" s="466">
        <f>F35</f>
      </c>
      <c r="X35" s="466">
        <f>G35</f>
      </c>
      <c r="Y35" s="466">
        <f>$G35</f>
      </c>
      <c r="Z35" s="466">
        <f>$G35</f>
      </c>
      <c r="AA35" s="466">
        <f>$G35</f>
      </c>
      <c r="AB35" s="466">
        <f>$G35</f>
      </c>
      <c r="AC35" s="466">
        <f>$G35</f>
      </c>
      <c r="AD35" s="466">
        <f>$G35</f>
      </c>
      <c r="AE35" s="466">
        <f>$G35</f>
      </c>
      <c r="AF35" s="466">
        <f>$G35</f>
      </c>
      <c r="AG35" s="466"/>
      <c r="AH35" s="466">
        <f>IFERROR(1/AH$3,1)*SUMIFS(tbl_DCFC[F Montant HT],tbl_DCFC[Revenue_Year],AH$1,tbl_DCFC[Revenue_Month],IF(RIGHT(AH$2,3)="YTD","&lt;="&amp;LEFT(AH$2,2)*1,AH$2),tbl_DCFC[BU_Key],$A35)</f>
      </c>
      <c r="AI35" s="466">
        <f>AM35/12*LEFT(AI$2,2)*1</f>
      </c>
      <c r="AJ35" s="467">
        <f>AH35-AI35</f>
      </c>
      <c r="AK35" s="3"/>
      <c r="AL35" s="466">
        <f>IFERROR(1/AL$3,1)*SUMIFS(tbl_DCFC[F Montant HT],tbl_DCFC[Revenue_Year],AL$1,tbl_DCFC[Revenue_Month],IF(RIGHT(AL$2,3)="YTD","&lt;="&amp;LEFT(AL$2,2)*1,AL$2),tbl_DCFC[BU_Key],$A35)</f>
      </c>
      <c r="AM35" s="466">
        <v>700000</v>
      </c>
      <c r="AN35" s="3"/>
      <c r="AO35" s="3"/>
      <c r="AP35" s="3"/>
      <c r="AQ35" s="3"/>
      <c r="AR35" s="3"/>
      <c r="AS35" s="3"/>
      <c r="AT35" s="3"/>
      <c r="AU35" s="3"/>
    </row>
    <row x14ac:dyDescent="0.25" r="36" customHeight="1" ht="19.5">
      <c r="A36" s="41" t="s">
        <v>582</v>
      </c>
      <c r="B36" s="33" t="s">
        <v>458</v>
      </c>
      <c r="C36" s="66"/>
      <c r="D36" s="3"/>
      <c r="E36" s="466">
        <f>$AL36/E$3</f>
      </c>
      <c r="F36" s="466">
        <f>IFERROR(1/F$3,1)*SUMIFS(Data!$S$3:$S$137,Data!$O$3:$O$137,F$1,Data!$P$3:$P$137,IF(RIGHT(F$2,3)="YTD","&lt;="&amp;LEFT(F$2,2)*1,F$2),Data!$K$3:$K$137,$B36)</f>
      </c>
      <c r="G36" s="466">
        <f>AM36/12</f>
      </c>
      <c r="H36" s="3"/>
      <c r="I36" s="466">
        <f>IFERROR(1/I$3,1)*SUMIFS(tbl_DCFC[F Montant HT],tbl_DCFC[Revenue_Year],I$1,tbl_DCFC[Revenue_Month],IF(RIGHT(I$2,3)="YTD","&lt;="&amp;LEFT(I$2,2)*1,I$2),tbl_DCFC[BU_Key],$A36)</f>
      </c>
      <c r="J36" s="466">
        <f>IFERROR(1/J$3,1)*SUMIFS(tbl_DCFC[F Montant HT],tbl_DCFC[Revenue_Year],J$1,tbl_DCFC[Revenue_Month],IF(RIGHT(J$2,3)="YTD","&lt;="&amp;LEFT(J$2,2)*1,J$2),tbl_DCFC[BU_Key],$A36)</f>
      </c>
      <c r="K36" s="466">
        <f>IFERROR(1/K$3,1)*SUMIFS(tbl_DCFC[F Montant HT],tbl_DCFC[Revenue_Year],K$1,tbl_DCFC[Revenue_Month],IF(RIGHT(K$2,3)="YTD","&lt;="&amp;LEFT(K$2,2)*1,K$2),tbl_DCFC[BU_Key],$A36)</f>
      </c>
      <c r="L36" s="466">
        <f>IFERROR(1/L$3,1)*SUMIFS(tbl_DCFC[F Montant HT],tbl_DCFC[Revenue_Year],L$1,tbl_DCFC[Revenue_Month],IF(RIGHT(L$2,3)="YTD","&lt;="&amp;LEFT(L$2,2)*1,L$2),tbl_DCFC[BU_Key],$A36)</f>
      </c>
      <c r="M36" s="466">
        <f>IFERROR(1/M$3,1)*SUMIFS(tbl_DCFC[F Montant HT],tbl_DCFC[Revenue_Year],M$1,tbl_DCFC[Revenue_Month],IF(RIGHT(M$2,3)="YTD","&lt;="&amp;LEFT(M$2,2)*1,M$2),tbl_DCFC[BU_Key],$A36)</f>
      </c>
      <c r="N36" s="466">
        <f>IFERROR(1/N$3,1)*SUMIFS(tbl_DCFC[F Montant HT],tbl_DCFC[Revenue_Year],N$1,tbl_DCFC[Revenue_Month],IF(RIGHT(N$2,3)="YTD","&lt;="&amp;LEFT(N$2,2)*1,N$2),tbl_DCFC[BU_Key],$A36)</f>
      </c>
      <c r="O36" s="466">
        <f>IFERROR(1/O$3,1)*SUMIFS(tbl_DCFC[F Montant HT],tbl_DCFC[Revenue_Year],O$1,tbl_DCFC[Revenue_Month],IF(RIGHT(O$2,3)="YTD","&lt;="&amp;LEFT(O$2,2)*1,O$2),tbl_DCFC[BU_Key],$A36)</f>
      </c>
      <c r="P36" s="466">
        <f>IFERROR(1/P$3,1)*SUMIFS(tbl_DCFC[F Montant HT],tbl_DCFC[Revenue_Year],P$1,tbl_DCFC[Revenue_Month],IF(RIGHT(P$2,3)="YTD","&lt;="&amp;LEFT(P$2,2)*1,P$2),tbl_DCFC[BU_Key],$A36)</f>
      </c>
      <c r="Q36" s="466">
        <f>IFERROR(1/Q$3,1)*SUMIFS(tbl_DCFC[F Montant HT],tbl_DCFC[Revenue_Year],Q$1,tbl_DCFC[Revenue_Month],IF(RIGHT(Q$2,3)="YTD","&lt;="&amp;LEFT(Q$2,2)*1,Q$2),tbl_DCFC[BU_Key],$A36)</f>
      </c>
      <c r="R36" s="466">
        <f>IFERROR(1/R$3,1)*SUMIFS(tbl_DCFC[F Montant HT],tbl_DCFC[Revenue_Year],R$1,tbl_DCFC[Revenue_Month],IF(RIGHT(R$2,3)="YTD","&lt;="&amp;LEFT(R$2,2)*1,R$2),tbl_DCFC[BU_Key],$A36)</f>
      </c>
      <c r="S36" s="466">
        <f>IFERROR(1/S$3,1)*SUMIFS(tbl_DCFC[F Montant HT],tbl_DCFC[Revenue_Year],S$1,tbl_DCFC[Revenue_Month],IF(RIGHT(S$2,3)="YTD","&lt;="&amp;LEFT(S$2,2)*1,S$2),tbl_DCFC[BU_Key],$A36)</f>
      </c>
      <c r="T36" s="466">
        <f>IFERROR(1/T$3,1)*SUMIFS(tbl_DCFC[F Montant HT],tbl_DCFC[Revenue_Year],T$1,tbl_DCFC[Revenue_Month],IF(RIGHT(T$2,3)="YTD","&lt;="&amp;LEFT(T$2,2)*1,T$2),tbl_DCFC[BU_Key],$A36)</f>
      </c>
      <c r="U36" s="3"/>
      <c r="V36" s="466">
        <f>E36</f>
      </c>
      <c r="W36" s="466">
        <f>F36</f>
      </c>
      <c r="X36" s="466">
        <f>G36</f>
      </c>
      <c r="Y36" s="466">
        <f>$G36</f>
      </c>
      <c r="Z36" s="466">
        <f>$G36</f>
      </c>
      <c r="AA36" s="466">
        <f>$G36</f>
      </c>
      <c r="AB36" s="466">
        <f>$G36</f>
      </c>
      <c r="AC36" s="466">
        <f>$G36</f>
      </c>
      <c r="AD36" s="466">
        <f>$G36</f>
      </c>
      <c r="AE36" s="466">
        <f>$G36</f>
      </c>
      <c r="AF36" s="466">
        <f>$G36</f>
      </c>
      <c r="AG36" s="466"/>
      <c r="AH36" s="466">
        <f>IFERROR(1/AH$3,1)*SUMIFS(tbl_DCFC[F Montant HT],tbl_DCFC[Revenue_Year],AH$1,tbl_DCFC[Revenue_Month],IF(RIGHT(AH$2,3)="YTD","&lt;="&amp;LEFT(AH$2,2)*1,AH$2),tbl_DCFC[BU_Key],$A36)</f>
      </c>
      <c r="AI36" s="466">
        <f>AM36/12*LEFT(AI$2,2)*1</f>
      </c>
      <c r="AJ36" s="467">
        <f>AH36-AI36</f>
      </c>
      <c r="AK36" s="3"/>
      <c r="AL36" s="466">
        <f>IFERROR(1/AL$3,1)*SUMIFS(tbl_DCFC[F Montant HT],tbl_DCFC[Revenue_Year],AL$1,tbl_DCFC[Revenue_Month],IF(RIGHT(AL$2,3)="YTD","&lt;="&amp;LEFT(AL$2,2)*1,AL$2),tbl_DCFC[BU_Key],$A36)</f>
      </c>
      <c r="AM36" s="469">
        <v>0</v>
      </c>
      <c r="AN36" s="3"/>
      <c r="AO36" s="3"/>
      <c r="AP36" s="3"/>
      <c r="AQ36" s="3"/>
      <c r="AR36" s="3"/>
      <c r="AS36" s="3"/>
      <c r="AT36" s="3"/>
      <c r="AU36" s="3"/>
    </row>
    <row x14ac:dyDescent="0.25" r="37" customHeight="1" ht="19.5">
      <c r="A37" s="3"/>
      <c r="B37" s="459"/>
      <c r="C37" s="66"/>
      <c r="D37" s="3"/>
      <c r="E37" s="460"/>
      <c r="F37" s="460"/>
      <c r="G37" s="461"/>
      <c r="H37" s="3"/>
      <c r="I37" s="461"/>
      <c r="J37" s="461"/>
      <c r="K37" s="461"/>
      <c r="L37" s="461"/>
      <c r="M37" s="461"/>
      <c r="N37" s="460"/>
      <c r="O37" s="460"/>
      <c r="P37" s="460"/>
      <c r="Q37" s="460"/>
      <c r="R37" s="460"/>
      <c r="S37" s="460"/>
      <c r="T37" s="460"/>
      <c r="U37" s="3"/>
      <c r="V37" s="489"/>
      <c r="W37" s="489"/>
      <c r="X37" s="489"/>
      <c r="Y37" s="460"/>
      <c r="Z37" s="460"/>
      <c r="AA37" s="460"/>
      <c r="AB37" s="460"/>
      <c r="AC37" s="460"/>
      <c r="AD37" s="460"/>
      <c r="AE37" s="460"/>
      <c r="AF37" s="462"/>
      <c r="AG37" s="462"/>
      <c r="AH37" s="463"/>
      <c r="AI37" s="464"/>
      <c r="AJ37" s="440"/>
      <c r="AK37" s="3"/>
      <c r="AL37" s="463"/>
      <c r="AM37" s="465"/>
      <c r="AN37" s="3"/>
      <c r="AO37" s="3"/>
      <c r="AP37" s="3"/>
      <c r="AQ37" s="3"/>
      <c r="AR37" s="3"/>
      <c r="AS37" s="3"/>
      <c r="AT37" s="3"/>
      <c r="AU37" s="3"/>
    </row>
    <row x14ac:dyDescent="0.25" r="38" customHeight="1" ht="19.5" hidden="1">
      <c r="A38" s="3"/>
      <c r="B38" s="459" t="s">
        <v>446</v>
      </c>
      <c r="C38" s="468"/>
      <c r="D38" s="3"/>
      <c r="E38" s="477"/>
      <c r="F38" s="477"/>
      <c r="G38" s="477"/>
      <c r="H38" s="3"/>
      <c r="I38" s="477"/>
      <c r="J38" s="477"/>
      <c r="K38" s="477"/>
      <c r="L38" s="477"/>
      <c r="M38" s="477"/>
      <c r="N38" s="477"/>
      <c r="O38" s="477"/>
      <c r="P38" s="477"/>
      <c r="Q38" s="477"/>
      <c r="R38" s="477"/>
      <c r="S38" s="477"/>
      <c r="T38" s="477"/>
      <c r="U38" s="3"/>
      <c r="V38" s="477"/>
      <c r="W38" s="477"/>
      <c r="X38" s="477"/>
      <c r="Y38" s="469"/>
      <c r="Z38" s="469"/>
      <c r="AA38" s="469"/>
      <c r="AB38" s="469"/>
      <c r="AC38" s="469"/>
      <c r="AD38" s="469"/>
      <c r="AE38" s="469"/>
      <c r="AF38" s="469"/>
      <c r="AG38" s="469"/>
      <c r="AH38" s="469"/>
      <c r="AI38" s="469"/>
      <c r="AJ38" s="473"/>
      <c r="AK38" s="3"/>
      <c r="AL38" s="469"/>
      <c r="AM38" s="469"/>
      <c r="AN38" s="3"/>
      <c r="AO38" s="3"/>
      <c r="AP38" s="3"/>
      <c r="AQ38" s="3"/>
      <c r="AR38" s="3"/>
      <c r="AS38" s="3"/>
      <c r="AT38" s="3"/>
      <c r="AU38" s="3"/>
    </row>
    <row x14ac:dyDescent="0.25" r="39" customHeight="1" ht="19.5" hidden="1">
      <c r="A39" s="33" t="s">
        <v>533</v>
      </c>
      <c r="B39" s="478" t="s">
        <v>534</v>
      </c>
      <c r="C39" s="468" t="s">
        <v>535</v>
      </c>
      <c r="D39" s="3"/>
      <c r="E39" s="466">
        <f>$AL39/E$3</f>
      </c>
      <c r="F39" s="466">
        <f>IFERROR(1/F$3,1)*SUMIFS(Data!$AD$3:$AD$137,Data!$Y$3:$Y$137,F$1,Data!$Z$3:$Z$137,IF(RIGHT(F$2,3)="YTD","&lt;="&amp;LEFT(F$2,2)*1,F$2),Data!$K$3:$K$137,$B39)</f>
      </c>
      <c r="G39" s="466">
        <f>AM39/12</f>
      </c>
      <c r="H39" s="476"/>
      <c r="I39" s="466">
        <f>IFERROR(1/I$3,1)*SUMIFS(Data!$AD$3:$AD$137,Data!$Y$3:$Y$137,I$1,Data!$Z$3:$Z$137,IF(RIGHT(I$2,3)="YTD","&lt;="&amp;LEFT(I$2,2)*1,I$2),Data!$K$3:$K$137,$B39)</f>
      </c>
      <c r="J39" s="466">
        <f>IFERROR(1/J$3,1)*SUMIFS(Data!$AD$3:$AD$137,Data!$Y$3:$Y$137,J$1,Data!$Z$3:$Z$137,IF(RIGHT(J$2,3)="YTD","&lt;="&amp;LEFT(J$2,2)*1,J$2),Data!$K$3:$K$137,$B39)</f>
      </c>
      <c r="K39" s="466">
        <f>IFERROR(1/K$3,1)*SUMIFS(Data!$AD$3:$AD$137,Data!$Y$3:$Y$137,K$1,Data!$Z$3:$Z$137,IF(RIGHT(K$2,3)="YTD","&lt;="&amp;LEFT(K$2,2)*1,K$2),Data!$K$3:$K$137,$B39)</f>
      </c>
      <c r="L39" s="466">
        <f>IFERROR(1/L$3,1)*SUMIFS(Data!$AD$3:$AD$137,Data!$Y$3:$Y$137,L$1,Data!$Z$3:$Z$137,IF(RIGHT(L$2,3)="YTD","&lt;="&amp;LEFT(L$2,2)*1,L$2),Data!$K$3:$K$137,$B39)</f>
      </c>
      <c r="M39" s="466">
        <f>IFERROR(1/M$3,1)*SUMIFS(Data!$AD$3:$AD$137,Data!$Y$3:$Y$137,M$1,Data!$Z$3:$Z$137,IF(RIGHT(M$2,3)="YTD","&lt;="&amp;LEFT(M$2,2)*1,M$2),Data!$K$3:$K$137,$B39)</f>
      </c>
      <c r="N39" s="466">
        <f>IFERROR(1/N$3,1)*SUMIFS(Data!$AD$3:$AD$137,Data!$Y$3:$Y$137,N$1,Data!$Z$3:$Z$137,IF(RIGHT(N$2,3)="YTD","&lt;="&amp;LEFT(N$2,2)*1,N$2),Data!$K$3:$K$137,$B39)</f>
      </c>
      <c r="O39" s="466">
        <f>IFERROR(1/O$3,1)*SUMIFS(Data!$AD$3:$AD$137,Data!$Y$3:$Y$137,O$1,Data!$Z$3:$Z$137,IF(RIGHT(O$2,3)="YTD","&lt;="&amp;LEFT(O$2,2)*1,O$2),Data!$K$3:$K$137,$B39)</f>
      </c>
      <c r="P39" s="466">
        <f>IFERROR(1/P$3,1)*SUMIFS(Data!$AD$3:$AD$137,Data!$Y$3:$Y$137,P$1,Data!$Z$3:$Z$137,IF(RIGHT(P$2,3)="YTD","&lt;="&amp;LEFT(P$2,2)*1,P$2),Data!$K$3:$K$137,$B39)</f>
      </c>
      <c r="Q39" s="466">
        <f>IFERROR(1/Q$3,1)*SUMIFS(Data!$AD$3:$AD$137,Data!$Y$3:$Y$137,Q$1,Data!$Z$3:$Z$137,IF(RIGHT(Q$2,3)="YTD","&lt;="&amp;LEFT(Q$2,2)*1,Q$2),Data!$K$3:$K$137,$B39)</f>
      </c>
      <c r="R39" s="466">
        <f>IFERROR(1/R$3,1)*SUMIFS(Data!$AD$3:$AD$137,Data!$Y$3:$Y$137,R$1,Data!$Z$3:$Z$137,IF(RIGHT(R$2,3)="YTD","&lt;="&amp;LEFT(R$2,2)*1,R$2),Data!$K$3:$K$137,$B39)</f>
      </c>
      <c r="S39" s="466">
        <f>IFERROR(1/S$3,1)*SUMIFS(Data!$AD$3:$AD$137,Data!$Y$3:$Y$137,S$1,Data!$Z$3:$Z$137,IF(RIGHT(S$2,3)="YTD","&lt;="&amp;LEFT(S$2,2)*1,S$2),Data!$K$3:$K$137,$B39)</f>
      </c>
      <c r="T39" s="466">
        <f>IFERROR(1/T$3,1)*SUMIFS(Data!$AD$3:$AD$137,Data!$Y$3:$Y$137,T$1,Data!$Z$3:$Z$137,IF(RIGHT(T$2,3)="YTD","&lt;="&amp;LEFT(T$2,2)*1,T$2),Data!$K$3:$K$137,$B39)</f>
      </c>
      <c r="U39" s="3"/>
      <c r="V39" s="466">
        <f>E39</f>
      </c>
      <c r="W39" s="466">
        <f>F39</f>
      </c>
      <c r="X39" s="466">
        <f>G39</f>
      </c>
      <c r="Y39" s="466">
        <f>$G39</f>
      </c>
      <c r="Z39" s="466">
        <f>$G39</f>
      </c>
      <c r="AA39" s="466">
        <f>$G39</f>
      </c>
      <c r="AB39" s="466">
        <f>$G39</f>
      </c>
      <c r="AC39" s="466">
        <f>$G39</f>
      </c>
      <c r="AD39" s="466">
        <f>$G39</f>
      </c>
      <c r="AE39" s="466">
        <f>$G39</f>
      </c>
      <c r="AF39" s="466">
        <f>$G39</f>
      </c>
      <c r="AG39" s="466"/>
      <c r="AH39" s="466">
        <f>IFERROR(1/AH$3,1)*SUMIFS(Data!$AD$3:$AD$137,Data!$Y$3:$Y$137,AH$1,Data!$Z$3:$Z$137,IF(RIGHT(AH$2,3)="YTD","&lt;="&amp;LEFT(AH$2,2)*1,AH$2),Data!$K$3:$K$137,$B15)</f>
      </c>
      <c r="AI39" s="466">
        <f>AM39/12*$C$5</f>
      </c>
      <c r="AJ39" s="467">
        <f>AH39-AI39</f>
      </c>
      <c r="AK39" s="3"/>
      <c r="AL39" s="466">
        <v>689300</v>
      </c>
      <c r="AM39" s="469">
        <v>370000</v>
      </c>
      <c r="AN39" s="3"/>
      <c r="AO39" s="3"/>
      <c r="AP39" s="3"/>
      <c r="AQ39" s="3"/>
      <c r="AR39" s="3"/>
      <c r="AS39" s="3"/>
      <c r="AT39" s="3"/>
      <c r="AU39" s="3"/>
    </row>
    <row x14ac:dyDescent="0.25" r="40" customHeight="1" ht="19.5" hidden="1">
      <c r="A40" s="3" t="s">
        <v>536</v>
      </c>
      <c r="B40" s="478" t="s">
        <v>537</v>
      </c>
      <c r="C40" s="468" t="s">
        <v>535</v>
      </c>
      <c r="D40" s="3"/>
      <c r="E40" s="466">
        <f>$AL40/E$3</f>
      </c>
      <c r="F40" s="466">
        <f>IFERROR(1/F$3,1)*SUMIFS(Data!$AD$3:$AD$137,Data!$Y$3:$Y$137,F$1,Data!$Z$3:$Z$137,IF(RIGHT(F$2,3)="YTD","&lt;="&amp;LEFT(F$2,2)*1,F$2),Data!$K$3:$K$137,$B40)</f>
      </c>
      <c r="G40" s="466">
        <f>AM40/12</f>
      </c>
      <c r="H40" s="476"/>
      <c r="I40" s="466">
        <f>IFERROR(1/I$3,1)*SUMIFS(Data!$AD$3:$AD$137,Data!$Y$3:$Y$137,I$1,Data!$Z$3:$Z$137,IF(RIGHT(I$2,3)="YTD","&lt;="&amp;LEFT(I$2,2)*1,I$2),Data!$K$3:$K$137,$B40)</f>
      </c>
      <c r="J40" s="466">
        <f>IFERROR(1/J$3,1)*SUMIFS(Data!$AD$3:$AD$137,Data!$Y$3:$Y$137,J$1,Data!$Z$3:$Z$137,IF(RIGHT(J$2,3)="YTD","&lt;="&amp;LEFT(J$2,2)*1,J$2),Data!$K$3:$K$137,$B40)</f>
      </c>
      <c r="K40" s="466">
        <f>IFERROR(1/K$3,1)*SUMIFS(Data!$AD$3:$AD$137,Data!$Y$3:$Y$137,K$1,Data!$Z$3:$Z$137,IF(RIGHT(K$2,3)="YTD","&lt;="&amp;LEFT(K$2,2)*1,K$2),Data!$K$3:$K$137,$B40)</f>
      </c>
      <c r="L40" s="466">
        <f>IFERROR(1/L$3,1)*SUMIFS(Data!$AD$3:$AD$137,Data!$Y$3:$Y$137,L$1,Data!$Z$3:$Z$137,IF(RIGHT(L$2,3)="YTD","&lt;="&amp;LEFT(L$2,2)*1,L$2),Data!$K$3:$K$137,$B40)</f>
      </c>
      <c r="M40" s="466">
        <f>IFERROR(1/M$3,1)*SUMIFS(Data!$AD$3:$AD$137,Data!$Y$3:$Y$137,M$1,Data!$Z$3:$Z$137,IF(RIGHT(M$2,3)="YTD","&lt;="&amp;LEFT(M$2,2)*1,M$2),Data!$K$3:$K$137,$B40)</f>
      </c>
      <c r="N40" s="466">
        <f>IFERROR(1/N$3,1)*SUMIFS(Data!$AD$3:$AD$137,Data!$Y$3:$Y$137,N$1,Data!$Z$3:$Z$137,IF(RIGHT(N$2,3)="YTD","&lt;="&amp;LEFT(N$2,2)*1,N$2),Data!$K$3:$K$137,$B40)</f>
      </c>
      <c r="O40" s="466">
        <f>IFERROR(1/O$3,1)*SUMIFS(Data!$AD$3:$AD$137,Data!$Y$3:$Y$137,O$1,Data!$Z$3:$Z$137,IF(RIGHT(O$2,3)="YTD","&lt;="&amp;LEFT(O$2,2)*1,O$2),Data!$K$3:$K$137,$B40)</f>
      </c>
      <c r="P40" s="466">
        <f>IFERROR(1/P$3,1)*SUMIFS(Data!$AD$3:$AD$137,Data!$Y$3:$Y$137,P$1,Data!$Z$3:$Z$137,IF(RIGHT(P$2,3)="YTD","&lt;="&amp;LEFT(P$2,2)*1,P$2),Data!$K$3:$K$137,$B40)</f>
      </c>
      <c r="Q40" s="466">
        <f>IFERROR(1/Q$3,1)*SUMIFS(Data!$AD$3:$AD$137,Data!$Y$3:$Y$137,Q$1,Data!$Z$3:$Z$137,IF(RIGHT(Q$2,3)="YTD","&lt;="&amp;LEFT(Q$2,2)*1,Q$2),Data!$K$3:$K$137,$B40)</f>
      </c>
      <c r="R40" s="466">
        <f>IFERROR(1/R$3,1)*SUMIFS(Data!$AD$3:$AD$137,Data!$Y$3:$Y$137,R$1,Data!$Z$3:$Z$137,IF(RIGHT(R$2,3)="YTD","&lt;="&amp;LEFT(R$2,2)*1,R$2),Data!$K$3:$K$137,$B40)</f>
      </c>
      <c r="S40" s="466">
        <f>IFERROR(1/S$3,1)*SUMIFS(Data!$AD$3:$AD$137,Data!$Y$3:$Y$137,S$1,Data!$Z$3:$Z$137,IF(RIGHT(S$2,3)="YTD","&lt;="&amp;LEFT(S$2,2)*1,S$2),Data!$K$3:$K$137,$B40)</f>
      </c>
      <c r="T40" s="466">
        <f>IFERROR(1/T$3,1)*SUMIFS(Data!$AD$3:$AD$137,Data!$Y$3:$Y$137,T$1,Data!$Z$3:$Z$137,IF(RIGHT(T$2,3)="YTD","&lt;="&amp;LEFT(T$2,2)*1,T$2),Data!$K$3:$K$137,$B40)</f>
      </c>
      <c r="U40" s="3"/>
      <c r="V40" s="466">
        <f>E40</f>
      </c>
      <c r="W40" s="466">
        <f>F40</f>
      </c>
      <c r="X40" s="466">
        <f>G40</f>
      </c>
      <c r="Y40" s="466">
        <f>$G40</f>
      </c>
      <c r="Z40" s="466">
        <f>$G40</f>
      </c>
      <c r="AA40" s="466">
        <f>$G40</f>
      </c>
      <c r="AB40" s="466">
        <f>$G40</f>
      </c>
      <c r="AC40" s="466">
        <f>$G40</f>
      </c>
      <c r="AD40" s="466">
        <f>$G40</f>
      </c>
      <c r="AE40" s="466">
        <f>$G40</f>
      </c>
      <c r="AF40" s="466">
        <f>$G40</f>
      </c>
      <c r="AG40" s="466"/>
      <c r="AH40" s="466">
        <f>IFERROR(1/AH$3,1)*SUMIFS(Data!$AD$3:$AD$137,Data!$Y$3:$Y$137,AH$1,Data!$Z$3:$Z$137,IF(RIGHT(AH$2,3)="YTD","&lt;="&amp;LEFT(AH$2,2)*1,AH$2),Data!$K$3:$K$137,$B16)</f>
      </c>
      <c r="AI40" s="466">
        <f>AM40/12*$C$5</f>
      </c>
      <c r="AJ40" s="467">
        <f>AH40-AI40</f>
      </c>
      <c r="AK40" s="3"/>
      <c r="AL40" s="466">
        <v>20096</v>
      </c>
      <c r="AM40" s="466">
        <v>0</v>
      </c>
      <c r="AN40" s="3"/>
      <c r="AO40" s="3"/>
      <c r="AP40" s="3"/>
      <c r="AQ40" s="3"/>
      <c r="AR40" s="3"/>
      <c r="AS40" s="3"/>
      <c r="AT40" s="3"/>
      <c r="AU40" s="3"/>
    </row>
    <row x14ac:dyDescent="0.25" r="41" customHeight="1" ht="19.5" hidden="1">
      <c r="A41" s="3"/>
      <c r="B41" s="478" t="s">
        <v>538</v>
      </c>
      <c r="C41" s="468" t="s">
        <v>535</v>
      </c>
      <c r="D41" s="3"/>
      <c r="E41" s="466">
        <f>$AL41/E$3</f>
      </c>
      <c r="F41" s="466">
        <f>IFERROR(1/F$3,1)*SUMIFS(Data!$AD$3:$AD$137,Data!$Y$3:$Y$137,F$1,Data!$Z$3:$Z$137,IF(RIGHT(F$2,3)="YTD","&lt;="&amp;LEFT(F$2,2)*1,F$2),Data!$K$3:$K$137,$B41)</f>
      </c>
      <c r="G41" s="466">
        <f>AM41/12</f>
      </c>
      <c r="H41" s="476"/>
      <c r="I41" s="466">
        <f>IFERROR(1/I$3,1)*SUMIFS(Data!$AD$3:$AD$137,Data!$Y$3:$Y$137,I$1,Data!$Z$3:$Z$137,IF(RIGHT(I$2,3)="YTD","&lt;="&amp;LEFT(I$2,2)*1,I$2),Data!$K$3:$K$137,$B41)</f>
      </c>
      <c r="J41" s="466">
        <f>IFERROR(1/J$3,1)*SUMIFS(Data!$AD$3:$AD$137,Data!$Y$3:$Y$137,J$1,Data!$Z$3:$Z$137,IF(RIGHT(J$2,3)="YTD","&lt;="&amp;LEFT(J$2,2)*1,J$2),Data!$K$3:$K$137,$B41)</f>
      </c>
      <c r="K41" s="466">
        <f>IFERROR(1/K$3,1)*SUMIFS(Data!$AD$3:$AD$137,Data!$Y$3:$Y$137,K$1,Data!$Z$3:$Z$137,IF(RIGHT(K$2,3)="YTD","&lt;="&amp;LEFT(K$2,2)*1,K$2),Data!$K$3:$K$137,$B41)</f>
      </c>
      <c r="L41" s="466">
        <f>IFERROR(1/L$3,1)*SUMIFS(Data!$AD$3:$AD$137,Data!$Y$3:$Y$137,L$1,Data!$Z$3:$Z$137,IF(RIGHT(L$2,3)="YTD","&lt;="&amp;LEFT(L$2,2)*1,L$2),Data!$K$3:$K$137,$B41)</f>
      </c>
      <c r="M41" s="466">
        <f>IFERROR(1/M$3,1)*SUMIFS(Data!$AD$3:$AD$137,Data!$Y$3:$Y$137,M$1,Data!$Z$3:$Z$137,IF(RIGHT(M$2,3)="YTD","&lt;="&amp;LEFT(M$2,2)*1,M$2),Data!$K$3:$K$137,$B41)</f>
      </c>
      <c r="N41" s="466">
        <f>IFERROR(1/N$3,1)*SUMIFS(Data!$AD$3:$AD$137,Data!$Y$3:$Y$137,N$1,Data!$Z$3:$Z$137,IF(RIGHT(N$2,3)="YTD","&lt;="&amp;LEFT(N$2,2)*1,N$2),Data!$K$3:$K$137,$B41)</f>
      </c>
      <c r="O41" s="466">
        <f>IFERROR(1/O$3,1)*SUMIFS(Data!$AD$3:$AD$137,Data!$Y$3:$Y$137,O$1,Data!$Z$3:$Z$137,IF(RIGHT(O$2,3)="YTD","&lt;="&amp;LEFT(O$2,2)*1,O$2),Data!$K$3:$K$137,$B41)</f>
      </c>
      <c r="P41" s="466">
        <f>IFERROR(1/P$3,1)*SUMIFS(Data!$AD$3:$AD$137,Data!$Y$3:$Y$137,P$1,Data!$Z$3:$Z$137,IF(RIGHT(P$2,3)="YTD","&lt;="&amp;LEFT(P$2,2)*1,P$2),Data!$K$3:$K$137,$B41)</f>
      </c>
      <c r="Q41" s="466">
        <f>IFERROR(1/Q$3,1)*SUMIFS(Data!$AD$3:$AD$137,Data!$Y$3:$Y$137,Q$1,Data!$Z$3:$Z$137,IF(RIGHT(Q$2,3)="YTD","&lt;="&amp;LEFT(Q$2,2)*1,Q$2),Data!$K$3:$K$137,$B41)</f>
      </c>
      <c r="R41" s="466">
        <f>IFERROR(1/R$3,1)*SUMIFS(Data!$AD$3:$AD$137,Data!$Y$3:$Y$137,R$1,Data!$Z$3:$Z$137,IF(RIGHT(R$2,3)="YTD","&lt;="&amp;LEFT(R$2,2)*1,R$2),Data!$K$3:$K$137,$B41)</f>
      </c>
      <c r="S41" s="466">
        <f>IFERROR(1/S$3,1)*SUMIFS(Data!$AD$3:$AD$137,Data!$Y$3:$Y$137,S$1,Data!$Z$3:$Z$137,IF(RIGHT(S$2,3)="YTD","&lt;="&amp;LEFT(S$2,2)*1,S$2),Data!$K$3:$K$137,$B41)</f>
      </c>
      <c r="T41" s="466">
        <f>IFERROR(1/T$3,1)*SUMIFS(Data!$AD$3:$AD$137,Data!$Y$3:$Y$137,T$1,Data!$Z$3:$Z$137,IF(RIGHT(T$2,3)="YTD","&lt;="&amp;LEFT(T$2,2)*1,T$2),Data!$K$3:$K$137,$B41)</f>
      </c>
      <c r="U41" s="3"/>
      <c r="V41" s="466">
        <f>E41</f>
      </c>
      <c r="W41" s="466">
        <f>F41</f>
      </c>
      <c r="X41" s="466">
        <f>G41</f>
      </c>
      <c r="Y41" s="466">
        <f>$G41</f>
      </c>
      <c r="Z41" s="466">
        <f>$G41</f>
      </c>
      <c r="AA41" s="466">
        <f>$G41</f>
      </c>
      <c r="AB41" s="466">
        <f>$G41</f>
      </c>
      <c r="AC41" s="466">
        <f>$G41</f>
      </c>
      <c r="AD41" s="466">
        <f>$G41</f>
      </c>
      <c r="AE41" s="466">
        <f>$G41</f>
      </c>
      <c r="AF41" s="466">
        <f>$G41</f>
      </c>
      <c r="AG41" s="466"/>
      <c r="AH41" s="466">
        <f>IFERROR(1/AH$3,1)*SUMIFS(Data!$AD$3:$AD$137,Data!$Y$3:$Y$137,AH$1,Data!$Z$3:$Z$137,IF(RIGHT(AH$2,3)="YTD","&lt;="&amp;LEFT(AH$2,2)*1,AH$2),Data!$K$3:$K$137,$B17)</f>
      </c>
      <c r="AI41" s="466">
        <f>AM41/12*$C$5</f>
      </c>
      <c r="AJ41" s="467">
        <f>AH41-AI41</f>
      </c>
      <c r="AK41" s="3"/>
      <c r="AL41" s="466">
        <v>5075</v>
      </c>
      <c r="AM41" s="466">
        <v>0</v>
      </c>
      <c r="AN41" s="3"/>
      <c r="AO41" s="3"/>
      <c r="AP41" s="3"/>
      <c r="AQ41" s="3"/>
      <c r="AR41" s="3"/>
      <c r="AS41" s="3"/>
      <c r="AT41" s="3"/>
      <c r="AU41" s="3"/>
    </row>
    <row x14ac:dyDescent="0.25" r="42" customHeight="1" ht="19.5" hidden="1">
      <c r="A42" s="3" t="s">
        <v>539</v>
      </c>
      <c r="B42" s="478" t="s">
        <v>540</v>
      </c>
      <c r="C42" s="468" t="s">
        <v>535</v>
      </c>
      <c r="D42" s="3"/>
      <c r="E42" s="466">
        <f>$AL42/E$3</f>
      </c>
      <c r="F42" s="466">
        <f>IFERROR(1/F$3,1)*SUMIFS(Data!$AD$3:$AD$137,Data!$Y$3:$Y$137,F$1,Data!$Z$3:$Z$137,IF(RIGHT(F$2,3)="YTD","&lt;="&amp;LEFT(F$2,2)*1,F$2),Data!$K$3:$K$137,$B42)</f>
      </c>
      <c r="G42" s="466">
        <f>AM42/12</f>
      </c>
      <c r="H42" s="476"/>
      <c r="I42" s="466">
        <f>IFERROR(1/I$3,1)*SUMIFS(Data!$AD$3:$AD$137,Data!$Y$3:$Y$137,I$1,Data!$Z$3:$Z$137,IF(RIGHT(I$2,3)="YTD","&lt;="&amp;LEFT(I$2,2)*1,I$2),Data!$K$3:$K$137,$B42)</f>
      </c>
      <c r="J42" s="466">
        <f>IFERROR(1/J$3,1)*SUMIFS(Data!$AD$3:$AD$137,Data!$Y$3:$Y$137,J$1,Data!$Z$3:$Z$137,IF(RIGHT(J$2,3)="YTD","&lt;="&amp;LEFT(J$2,2)*1,J$2),Data!$K$3:$K$137,$B42)</f>
      </c>
      <c r="K42" s="466">
        <f>IFERROR(1/K$3,1)*SUMIFS(Data!$AD$3:$AD$137,Data!$Y$3:$Y$137,K$1,Data!$Z$3:$Z$137,IF(RIGHT(K$2,3)="YTD","&lt;="&amp;LEFT(K$2,2)*1,K$2),Data!$K$3:$K$137,$B42)</f>
      </c>
      <c r="L42" s="466">
        <f>IFERROR(1/L$3,1)*SUMIFS(Data!$AD$3:$AD$137,Data!$Y$3:$Y$137,L$1,Data!$Z$3:$Z$137,IF(RIGHT(L$2,3)="YTD","&lt;="&amp;LEFT(L$2,2)*1,L$2),Data!$K$3:$K$137,$B42)</f>
      </c>
      <c r="M42" s="466">
        <f>IFERROR(1/M$3,1)*SUMIFS(Data!$AD$3:$AD$137,Data!$Y$3:$Y$137,M$1,Data!$Z$3:$Z$137,IF(RIGHT(M$2,3)="YTD","&lt;="&amp;LEFT(M$2,2)*1,M$2),Data!$K$3:$K$137,$B42)</f>
      </c>
      <c r="N42" s="466">
        <f>IFERROR(1/N$3,1)*SUMIFS(Data!$AD$3:$AD$137,Data!$Y$3:$Y$137,N$1,Data!$Z$3:$Z$137,IF(RIGHT(N$2,3)="YTD","&lt;="&amp;LEFT(N$2,2)*1,N$2),Data!$K$3:$K$137,$B42)</f>
      </c>
      <c r="O42" s="466">
        <f>IFERROR(1/O$3,1)*SUMIFS(Data!$AD$3:$AD$137,Data!$Y$3:$Y$137,O$1,Data!$Z$3:$Z$137,IF(RIGHT(O$2,3)="YTD","&lt;="&amp;LEFT(O$2,2)*1,O$2),Data!$K$3:$K$137,$B42)</f>
      </c>
      <c r="P42" s="466">
        <f>IFERROR(1/P$3,1)*SUMIFS(Data!$AD$3:$AD$137,Data!$Y$3:$Y$137,P$1,Data!$Z$3:$Z$137,IF(RIGHT(P$2,3)="YTD","&lt;="&amp;LEFT(P$2,2)*1,P$2),Data!$K$3:$K$137,$B42)</f>
      </c>
      <c r="Q42" s="466">
        <f>IFERROR(1/Q$3,1)*SUMIFS(Data!$AD$3:$AD$137,Data!$Y$3:$Y$137,Q$1,Data!$Z$3:$Z$137,IF(RIGHT(Q$2,3)="YTD","&lt;="&amp;LEFT(Q$2,2)*1,Q$2),Data!$K$3:$K$137,$B42)</f>
      </c>
      <c r="R42" s="466">
        <f>IFERROR(1/R$3,1)*SUMIFS(Data!$AD$3:$AD$137,Data!$Y$3:$Y$137,R$1,Data!$Z$3:$Z$137,IF(RIGHT(R$2,3)="YTD","&lt;="&amp;LEFT(R$2,2)*1,R$2),Data!$K$3:$K$137,$B42)</f>
      </c>
      <c r="S42" s="466">
        <f>IFERROR(1/S$3,1)*SUMIFS(Data!$AD$3:$AD$137,Data!$Y$3:$Y$137,S$1,Data!$Z$3:$Z$137,IF(RIGHT(S$2,3)="YTD","&lt;="&amp;LEFT(S$2,2)*1,S$2),Data!$K$3:$K$137,$B42)</f>
      </c>
      <c r="T42" s="466">
        <f>IFERROR(1/T$3,1)*SUMIFS(Data!$AD$3:$AD$137,Data!$Y$3:$Y$137,T$1,Data!$Z$3:$Z$137,IF(RIGHT(T$2,3)="YTD","&lt;="&amp;LEFT(T$2,2)*1,T$2),Data!$K$3:$K$137,$B42)</f>
      </c>
      <c r="U42" s="3"/>
      <c r="V42" s="466">
        <f>E42</f>
      </c>
      <c r="W42" s="466">
        <f>F42</f>
      </c>
      <c r="X42" s="466">
        <f>G42</f>
      </c>
      <c r="Y42" s="466">
        <f>$G42</f>
      </c>
      <c r="Z42" s="466">
        <f>$G42</f>
      </c>
      <c r="AA42" s="466">
        <f>$G42</f>
      </c>
      <c r="AB42" s="466">
        <f>$G42</f>
      </c>
      <c r="AC42" s="466">
        <f>$G42</f>
      </c>
      <c r="AD42" s="466">
        <f>$G42</f>
      </c>
      <c r="AE42" s="466">
        <f>$G42</f>
      </c>
      <c r="AF42" s="466">
        <f>$G42</f>
      </c>
      <c r="AG42" s="466"/>
      <c r="AH42" s="466">
        <f>IFERROR(1/AH$3,1)*SUMIFS(Data!$AD$3:$AD$137,Data!$Y$3:$Y$137,AH$1,Data!$Z$3:$Z$137,IF(RIGHT(AH$2,3)="YTD","&lt;="&amp;LEFT(AH$2,2)*1,AH$2),Data!$K$3:$K$137,$B18)</f>
      </c>
      <c r="AI42" s="466">
        <f>AM42/12*$C$5</f>
      </c>
      <c r="AJ42" s="467">
        <f>AH42-AI42</f>
      </c>
      <c r="AK42" s="3"/>
      <c r="AL42" s="466">
        <v>37742.5</v>
      </c>
      <c r="AM42" s="466">
        <v>0</v>
      </c>
      <c r="AN42" s="3"/>
      <c r="AO42" s="3"/>
      <c r="AP42" s="3"/>
      <c r="AQ42" s="3"/>
      <c r="AR42" s="3"/>
      <c r="AS42" s="3"/>
      <c r="AT42" s="3"/>
      <c r="AU42" s="3"/>
    </row>
    <row x14ac:dyDescent="0.25" r="43" customHeight="1" ht="19.5" hidden="1">
      <c r="A43" s="3" t="s">
        <v>541</v>
      </c>
      <c r="B43" s="478" t="s">
        <v>542</v>
      </c>
      <c r="C43" s="468" t="s">
        <v>535</v>
      </c>
      <c r="D43" s="3"/>
      <c r="E43" s="466">
        <f>$AL43/E$3</f>
      </c>
      <c r="F43" s="466">
        <f>IFERROR(1/F$3,1)*SUMIFS(Data!$AD$3:$AD$137,Data!$Y$3:$Y$137,F$1,Data!$Z$3:$Z$137,IF(RIGHT(F$2,3)="YTD","&lt;="&amp;LEFT(F$2,2)*1,F$2),Data!$K$3:$K$137,$B43)</f>
      </c>
      <c r="G43" s="466">
        <f>AM43/12</f>
      </c>
      <c r="H43" s="476"/>
      <c r="I43" s="466">
        <f>IFERROR(1/I$3,1)*SUMIFS(Data!$AD$3:$AD$137,Data!$Y$3:$Y$137,I$1,Data!$Z$3:$Z$137,IF(RIGHT(I$2,3)="YTD","&lt;="&amp;LEFT(I$2,2)*1,I$2),Data!$K$3:$K$137,$B43)</f>
      </c>
      <c r="J43" s="466">
        <f>IFERROR(1/J$3,1)*SUMIFS(Data!$AD$3:$AD$137,Data!$Y$3:$Y$137,J$1,Data!$Z$3:$Z$137,IF(RIGHT(J$2,3)="YTD","&lt;="&amp;LEFT(J$2,2)*1,J$2),Data!$K$3:$K$137,$B43)</f>
      </c>
      <c r="K43" s="466">
        <f>IFERROR(1/K$3,1)*SUMIFS(Data!$AD$3:$AD$137,Data!$Y$3:$Y$137,K$1,Data!$Z$3:$Z$137,IF(RIGHT(K$2,3)="YTD","&lt;="&amp;LEFT(K$2,2)*1,K$2),Data!$K$3:$K$137,$B43)</f>
      </c>
      <c r="L43" s="466">
        <f>IFERROR(1/L$3,1)*SUMIFS(Data!$AD$3:$AD$137,Data!$Y$3:$Y$137,L$1,Data!$Z$3:$Z$137,IF(RIGHT(L$2,3)="YTD","&lt;="&amp;LEFT(L$2,2)*1,L$2),Data!$K$3:$K$137,$B43)</f>
      </c>
      <c r="M43" s="466">
        <f>IFERROR(1/M$3,1)*SUMIFS(Data!$AD$3:$AD$137,Data!$Y$3:$Y$137,M$1,Data!$Z$3:$Z$137,IF(RIGHT(M$2,3)="YTD","&lt;="&amp;LEFT(M$2,2)*1,M$2),Data!$K$3:$K$137,$B43)</f>
      </c>
      <c r="N43" s="466">
        <f>IFERROR(1/N$3,1)*SUMIFS(Data!$AD$3:$AD$137,Data!$Y$3:$Y$137,N$1,Data!$Z$3:$Z$137,IF(RIGHT(N$2,3)="YTD","&lt;="&amp;LEFT(N$2,2)*1,N$2),Data!$K$3:$K$137,$B43)</f>
      </c>
      <c r="O43" s="466">
        <f>IFERROR(1/O$3,1)*SUMIFS(Data!$AD$3:$AD$137,Data!$Y$3:$Y$137,O$1,Data!$Z$3:$Z$137,IF(RIGHT(O$2,3)="YTD","&lt;="&amp;LEFT(O$2,2)*1,O$2),Data!$K$3:$K$137,$B43)</f>
      </c>
      <c r="P43" s="466">
        <f>IFERROR(1/P$3,1)*SUMIFS(Data!$AD$3:$AD$137,Data!$Y$3:$Y$137,P$1,Data!$Z$3:$Z$137,IF(RIGHT(P$2,3)="YTD","&lt;="&amp;LEFT(P$2,2)*1,P$2),Data!$K$3:$K$137,$B43)</f>
      </c>
      <c r="Q43" s="466">
        <f>IFERROR(1/Q$3,1)*SUMIFS(Data!$AD$3:$AD$137,Data!$Y$3:$Y$137,Q$1,Data!$Z$3:$Z$137,IF(RIGHT(Q$2,3)="YTD","&lt;="&amp;LEFT(Q$2,2)*1,Q$2),Data!$K$3:$K$137,$B43)</f>
      </c>
      <c r="R43" s="466">
        <f>IFERROR(1/R$3,1)*SUMIFS(Data!$AD$3:$AD$137,Data!$Y$3:$Y$137,R$1,Data!$Z$3:$Z$137,IF(RIGHT(R$2,3)="YTD","&lt;="&amp;LEFT(R$2,2)*1,R$2),Data!$K$3:$K$137,$B43)</f>
      </c>
      <c r="S43" s="466">
        <f>IFERROR(1/S$3,1)*SUMIFS(Data!$AD$3:$AD$137,Data!$Y$3:$Y$137,S$1,Data!$Z$3:$Z$137,IF(RIGHT(S$2,3)="YTD","&lt;="&amp;LEFT(S$2,2)*1,S$2),Data!$K$3:$K$137,$B43)</f>
      </c>
      <c r="T43" s="466">
        <f>IFERROR(1/T$3,1)*SUMIFS(Data!$AD$3:$AD$137,Data!$Y$3:$Y$137,T$1,Data!$Z$3:$Z$137,IF(RIGHT(T$2,3)="YTD","&lt;="&amp;LEFT(T$2,2)*1,T$2),Data!$K$3:$K$137,$B43)</f>
      </c>
      <c r="U43" s="3"/>
      <c r="V43" s="466">
        <f>E43</f>
      </c>
      <c r="W43" s="466">
        <f>F43</f>
      </c>
      <c r="X43" s="466">
        <f>G43</f>
      </c>
      <c r="Y43" s="466">
        <f>$G43</f>
      </c>
      <c r="Z43" s="466">
        <f>$G43</f>
      </c>
      <c r="AA43" s="466">
        <f>$G43</f>
      </c>
      <c r="AB43" s="466">
        <f>$G43</f>
      </c>
      <c r="AC43" s="466">
        <f>$G43</f>
      </c>
      <c r="AD43" s="466">
        <f>$G43</f>
      </c>
      <c r="AE43" s="466">
        <f>$G43</f>
      </c>
      <c r="AF43" s="466">
        <f>$G43</f>
      </c>
      <c r="AG43" s="466"/>
      <c r="AH43" s="466">
        <f>IFERROR(1/AH$3,1)*SUMIFS(Data!$AD$3:$AD$137,Data!$Y$3:$Y$137,AH$1,Data!$Z$3:$Z$137,IF(RIGHT(AH$2,3)="YTD","&lt;="&amp;LEFT(AH$2,2)*1,AH$2),Data!$K$3:$K$137,$B19)</f>
      </c>
      <c r="AI43" s="466">
        <f>AM43/12*$C$5</f>
      </c>
      <c r="AJ43" s="467">
        <f>AH43-AI43</f>
      </c>
      <c r="AK43" s="3"/>
      <c r="AL43" s="466">
        <v>271320</v>
      </c>
      <c r="AM43" s="466">
        <v>0</v>
      </c>
      <c r="AN43" s="3"/>
      <c r="AO43" s="3"/>
      <c r="AP43" s="3"/>
      <c r="AQ43" s="3"/>
      <c r="AR43" s="3"/>
      <c r="AS43" s="3"/>
      <c r="AT43" s="3"/>
      <c r="AU43" s="3"/>
    </row>
    <row x14ac:dyDescent="0.25" r="44" customHeight="1" ht="19.5" hidden="1">
      <c r="A44" s="3" t="s">
        <v>543</v>
      </c>
      <c r="B44" s="478" t="s">
        <v>544</v>
      </c>
      <c r="C44" s="468" t="s">
        <v>535</v>
      </c>
      <c r="D44" s="3"/>
      <c r="E44" s="466">
        <f>$AL44/E$3</f>
      </c>
      <c r="F44" s="466">
        <f>IFERROR(1/F$3,1)*SUMIFS(Data!$AD$3:$AD$137,Data!$Y$3:$Y$137,F$1,Data!$Z$3:$Z$137,IF(RIGHT(F$2,3)="YTD","&lt;="&amp;LEFT(F$2,2)*1,F$2),Data!$K$3:$K$137,$B44)</f>
      </c>
      <c r="G44" s="466">
        <f>AM44/12</f>
      </c>
      <c r="H44" s="476"/>
      <c r="I44" s="466">
        <f>IFERROR(1/I$3,1)*SUMIFS(Data!$AD$3:$AD$137,Data!$Y$3:$Y$137,I$1,Data!$Z$3:$Z$137,IF(RIGHT(I$2,3)="YTD","&lt;="&amp;LEFT(I$2,2)*1,I$2),Data!$K$3:$K$137,$B44)</f>
      </c>
      <c r="J44" s="466">
        <f>IFERROR(1/J$3,1)*SUMIFS(Data!$AD$3:$AD$137,Data!$Y$3:$Y$137,J$1,Data!$Z$3:$Z$137,IF(RIGHT(J$2,3)="YTD","&lt;="&amp;LEFT(J$2,2)*1,J$2),Data!$K$3:$K$137,$B44)</f>
      </c>
      <c r="K44" s="466">
        <f>IFERROR(1/K$3,1)*SUMIFS(Data!$AD$3:$AD$137,Data!$Y$3:$Y$137,K$1,Data!$Z$3:$Z$137,IF(RIGHT(K$2,3)="YTD","&lt;="&amp;LEFT(K$2,2)*1,K$2),Data!$K$3:$K$137,$B44)</f>
      </c>
      <c r="L44" s="466">
        <f>IFERROR(1/L$3,1)*SUMIFS(Data!$AD$3:$AD$137,Data!$Y$3:$Y$137,L$1,Data!$Z$3:$Z$137,IF(RIGHT(L$2,3)="YTD","&lt;="&amp;LEFT(L$2,2)*1,L$2),Data!$K$3:$K$137,$B44)</f>
      </c>
      <c r="M44" s="466">
        <f>IFERROR(1/M$3,1)*SUMIFS(Data!$AD$3:$AD$137,Data!$Y$3:$Y$137,M$1,Data!$Z$3:$Z$137,IF(RIGHT(M$2,3)="YTD","&lt;="&amp;LEFT(M$2,2)*1,M$2),Data!$K$3:$K$137,$B44)</f>
      </c>
      <c r="N44" s="466">
        <f>IFERROR(1/N$3,1)*SUMIFS(Data!$AD$3:$AD$137,Data!$Y$3:$Y$137,N$1,Data!$Z$3:$Z$137,IF(RIGHT(N$2,3)="YTD","&lt;="&amp;LEFT(N$2,2)*1,N$2),Data!$K$3:$K$137,$B44)</f>
      </c>
      <c r="O44" s="466">
        <f>IFERROR(1/O$3,1)*SUMIFS(Data!$AD$3:$AD$137,Data!$Y$3:$Y$137,O$1,Data!$Z$3:$Z$137,IF(RIGHT(O$2,3)="YTD","&lt;="&amp;LEFT(O$2,2)*1,O$2),Data!$K$3:$K$137,$B44)</f>
      </c>
      <c r="P44" s="466">
        <f>IFERROR(1/P$3,1)*SUMIFS(Data!$AD$3:$AD$137,Data!$Y$3:$Y$137,P$1,Data!$Z$3:$Z$137,IF(RIGHT(P$2,3)="YTD","&lt;="&amp;LEFT(P$2,2)*1,P$2),Data!$K$3:$K$137,$B44)</f>
      </c>
      <c r="Q44" s="466">
        <f>IFERROR(1/Q$3,1)*SUMIFS(Data!$AD$3:$AD$137,Data!$Y$3:$Y$137,Q$1,Data!$Z$3:$Z$137,IF(RIGHT(Q$2,3)="YTD","&lt;="&amp;LEFT(Q$2,2)*1,Q$2),Data!$K$3:$K$137,$B44)</f>
      </c>
      <c r="R44" s="466">
        <f>IFERROR(1/R$3,1)*SUMIFS(Data!$AD$3:$AD$137,Data!$Y$3:$Y$137,R$1,Data!$Z$3:$Z$137,IF(RIGHT(R$2,3)="YTD","&lt;="&amp;LEFT(R$2,2)*1,R$2),Data!$K$3:$K$137,$B44)</f>
      </c>
      <c r="S44" s="466">
        <f>IFERROR(1/S$3,1)*SUMIFS(Data!$AD$3:$AD$137,Data!$Y$3:$Y$137,S$1,Data!$Z$3:$Z$137,IF(RIGHT(S$2,3)="YTD","&lt;="&amp;LEFT(S$2,2)*1,S$2),Data!$K$3:$K$137,$B44)</f>
      </c>
      <c r="T44" s="466">
        <f>IFERROR(1/T$3,1)*SUMIFS(Data!$AD$3:$AD$137,Data!$Y$3:$Y$137,T$1,Data!$Z$3:$Z$137,IF(RIGHT(T$2,3)="YTD","&lt;="&amp;LEFT(T$2,2)*1,T$2),Data!$K$3:$K$137,$B44)</f>
      </c>
      <c r="U44" s="3"/>
      <c r="V44" s="466">
        <f>E44</f>
      </c>
      <c r="W44" s="466">
        <f>F44</f>
      </c>
      <c r="X44" s="466">
        <f>G44</f>
      </c>
      <c r="Y44" s="466">
        <f>$G44</f>
      </c>
      <c r="Z44" s="466">
        <f>$G44</f>
      </c>
      <c r="AA44" s="466">
        <f>$G44</f>
      </c>
      <c r="AB44" s="466">
        <f>$G44</f>
      </c>
      <c r="AC44" s="466">
        <f>$G44</f>
      </c>
      <c r="AD44" s="466">
        <f>$G44</f>
      </c>
      <c r="AE44" s="466">
        <f>$G44</f>
      </c>
      <c r="AF44" s="466">
        <f>$G44</f>
      </c>
      <c r="AG44" s="466"/>
      <c r="AH44" s="466">
        <f>IFERROR(1/AH$3,1)*SUMIFS(Data!$AD$3:$AD$137,Data!$Y$3:$Y$137,AH$1,Data!$Z$3:$Z$137,IF(RIGHT(AH$2,3)="YTD","&lt;="&amp;LEFT(AH$2,2)*1,AH$2),Data!$K$3:$K$137,$B20)</f>
      </c>
      <c r="AI44" s="466">
        <f>AM44/12*$C$5</f>
      </c>
      <c r="AJ44" s="467">
        <f>AH44-AI44</f>
      </c>
      <c r="AK44" s="3"/>
      <c r="AL44" s="466">
        <v>45130</v>
      </c>
      <c r="AM44" s="469">
        <v>250000</v>
      </c>
      <c r="AN44" s="3"/>
      <c r="AO44" s="3"/>
      <c r="AP44" s="3"/>
      <c r="AQ44" s="3"/>
      <c r="AR44" s="3"/>
      <c r="AS44" s="3"/>
      <c r="AT44" s="3"/>
      <c r="AU44" s="3"/>
    </row>
    <row x14ac:dyDescent="0.25" r="45" customHeight="1" ht="19.5" hidden="1">
      <c r="A45" s="33" t="s">
        <v>545</v>
      </c>
      <c r="B45" s="478" t="s">
        <v>546</v>
      </c>
      <c r="C45" s="468" t="s">
        <v>535</v>
      </c>
      <c r="D45" s="3"/>
      <c r="E45" s="466">
        <f>$AL45/E$3</f>
      </c>
      <c r="F45" s="466">
        <f>IFERROR(1/F$3,1)*SUMIFS(Data!$AD$3:$AD$137,Data!$Y$3:$Y$137,F$1,Data!$Z$3:$Z$137,IF(RIGHT(F$2,3)="YTD","&lt;="&amp;LEFT(F$2,2)*1,F$2),Data!$K$3:$K$137,$B45)</f>
      </c>
      <c r="G45" s="466">
        <f>AM45/12</f>
      </c>
      <c r="H45" s="476"/>
      <c r="I45" s="466">
        <f>IFERROR(1/I$3,1)*SUMIFS(Data!$AD$3:$AD$137,Data!$Y$3:$Y$137,I$1,Data!$Z$3:$Z$137,IF(RIGHT(I$2,3)="YTD","&lt;="&amp;LEFT(I$2,2)*1,I$2),Data!$K$3:$K$137,$B45)</f>
      </c>
      <c r="J45" s="466">
        <f>IFERROR(1/J$3,1)*SUMIFS(Data!$AD$3:$AD$137,Data!$Y$3:$Y$137,J$1,Data!$Z$3:$Z$137,IF(RIGHT(J$2,3)="YTD","&lt;="&amp;LEFT(J$2,2)*1,J$2),Data!$K$3:$K$137,$B45)</f>
      </c>
      <c r="K45" s="466">
        <f>IFERROR(1/K$3,1)*SUMIFS(Data!$AD$3:$AD$137,Data!$Y$3:$Y$137,K$1,Data!$Z$3:$Z$137,IF(RIGHT(K$2,3)="YTD","&lt;="&amp;LEFT(K$2,2)*1,K$2),Data!$K$3:$K$137,$B45)</f>
      </c>
      <c r="L45" s="466">
        <f>IFERROR(1/L$3,1)*SUMIFS(Data!$AD$3:$AD$137,Data!$Y$3:$Y$137,L$1,Data!$Z$3:$Z$137,IF(RIGHT(L$2,3)="YTD","&lt;="&amp;LEFT(L$2,2)*1,L$2),Data!$K$3:$K$137,$B45)</f>
      </c>
      <c r="M45" s="466">
        <f>IFERROR(1/M$3,1)*SUMIFS(Data!$AD$3:$AD$137,Data!$Y$3:$Y$137,M$1,Data!$Z$3:$Z$137,IF(RIGHT(M$2,3)="YTD","&lt;="&amp;LEFT(M$2,2)*1,M$2),Data!$K$3:$K$137,$B45)</f>
      </c>
      <c r="N45" s="466">
        <f>IFERROR(1/N$3,1)*SUMIFS(Data!$AD$3:$AD$137,Data!$Y$3:$Y$137,N$1,Data!$Z$3:$Z$137,IF(RIGHT(N$2,3)="YTD","&lt;="&amp;LEFT(N$2,2)*1,N$2),Data!$K$3:$K$137,$B45)</f>
      </c>
      <c r="O45" s="466">
        <f>IFERROR(1/O$3,1)*SUMIFS(Data!$AD$3:$AD$137,Data!$Y$3:$Y$137,O$1,Data!$Z$3:$Z$137,IF(RIGHT(O$2,3)="YTD","&lt;="&amp;LEFT(O$2,2)*1,O$2),Data!$K$3:$K$137,$B45)</f>
      </c>
      <c r="P45" s="466">
        <f>IFERROR(1/P$3,1)*SUMIFS(Data!$AD$3:$AD$137,Data!$Y$3:$Y$137,P$1,Data!$Z$3:$Z$137,IF(RIGHT(P$2,3)="YTD","&lt;="&amp;LEFT(P$2,2)*1,P$2),Data!$K$3:$K$137,$B45)</f>
      </c>
      <c r="Q45" s="466">
        <f>IFERROR(1/Q$3,1)*SUMIFS(Data!$AD$3:$AD$137,Data!$Y$3:$Y$137,Q$1,Data!$Z$3:$Z$137,IF(RIGHT(Q$2,3)="YTD","&lt;="&amp;LEFT(Q$2,2)*1,Q$2),Data!$K$3:$K$137,$B45)</f>
      </c>
      <c r="R45" s="466">
        <f>IFERROR(1/R$3,1)*SUMIFS(Data!$AD$3:$AD$137,Data!$Y$3:$Y$137,R$1,Data!$Z$3:$Z$137,IF(RIGHT(R$2,3)="YTD","&lt;="&amp;LEFT(R$2,2)*1,R$2),Data!$K$3:$K$137,$B45)</f>
      </c>
      <c r="S45" s="466">
        <f>IFERROR(1/S$3,1)*SUMIFS(Data!$AD$3:$AD$137,Data!$Y$3:$Y$137,S$1,Data!$Z$3:$Z$137,IF(RIGHT(S$2,3)="YTD","&lt;="&amp;LEFT(S$2,2)*1,S$2),Data!$K$3:$K$137,$B45)</f>
      </c>
      <c r="T45" s="466">
        <f>IFERROR(1/T$3,1)*SUMIFS(Data!$AD$3:$AD$137,Data!$Y$3:$Y$137,T$1,Data!$Z$3:$Z$137,IF(RIGHT(T$2,3)="YTD","&lt;="&amp;LEFT(T$2,2)*1,T$2),Data!$K$3:$K$137,$B45)</f>
      </c>
      <c r="U45" s="3"/>
      <c r="V45" s="466">
        <f>E45</f>
      </c>
      <c r="W45" s="466">
        <f>F45</f>
      </c>
      <c r="X45" s="466">
        <f>G45</f>
      </c>
      <c r="Y45" s="466">
        <f>$G45</f>
      </c>
      <c r="Z45" s="466">
        <f>$G45</f>
      </c>
      <c r="AA45" s="466">
        <f>$G45</f>
      </c>
      <c r="AB45" s="466">
        <f>$G45</f>
      </c>
      <c r="AC45" s="466">
        <f>$G45</f>
      </c>
      <c r="AD45" s="466">
        <f>$G45</f>
      </c>
      <c r="AE45" s="466">
        <f>$G45</f>
      </c>
      <c r="AF45" s="466">
        <f>$G45</f>
      </c>
      <c r="AG45" s="466"/>
      <c r="AH45" s="466">
        <f>IFERROR(1/AH$3,1)*SUMIFS(Data!$AD$3:$AD$137,Data!$Y$3:$Y$137,AH$1,Data!$Z$3:$Z$137,IF(RIGHT(AH$2,3)="YTD","&lt;="&amp;LEFT(AH$2,2)*1,AH$2),Data!$K$3:$K$137,$B21)</f>
      </c>
      <c r="AI45" s="466">
        <f>AM45/12*$C$5</f>
      </c>
      <c r="AJ45" s="467">
        <f>AH45-AI45</f>
      </c>
      <c r="AK45" s="3"/>
      <c r="AL45" s="466">
        <v>127114</v>
      </c>
      <c r="AM45" s="469">
        <v>45000</v>
      </c>
      <c r="AN45" s="3"/>
      <c r="AO45" s="3"/>
      <c r="AP45" s="3"/>
      <c r="AQ45" s="3"/>
      <c r="AR45" s="3"/>
      <c r="AS45" s="3"/>
      <c r="AT45" s="3"/>
      <c r="AU45" s="3"/>
    </row>
    <row x14ac:dyDescent="0.25" r="46" customHeight="1" ht="19.5" hidden="1">
      <c r="A46" s="33" t="s">
        <v>547</v>
      </c>
      <c r="B46" s="478" t="s">
        <v>548</v>
      </c>
      <c r="C46" s="468" t="s">
        <v>535</v>
      </c>
      <c r="D46" s="3"/>
      <c r="E46" s="466">
        <f>$AL46/E$3</f>
      </c>
      <c r="F46" s="466">
        <f>IFERROR(1/F$3,1)*SUMIFS(Data!$AD$3:$AD$137,Data!$Y$3:$Y$137,F$1,Data!$Z$3:$Z$137,IF(RIGHT(F$2,3)="YTD","&lt;="&amp;LEFT(F$2,2)*1,F$2),Data!$K$3:$K$137,$B46)</f>
      </c>
      <c r="G46" s="466">
        <f>AM46/12</f>
      </c>
      <c r="H46" s="476"/>
      <c r="I46" s="466">
        <f>IFERROR(1/I$3,1)*SUMIFS(Data!$AD$3:$AD$137,Data!$Y$3:$Y$137,I$1,Data!$Z$3:$Z$137,IF(RIGHT(I$2,3)="YTD","&lt;="&amp;LEFT(I$2,2)*1,I$2),Data!$K$3:$K$137,$B46)</f>
      </c>
      <c r="J46" s="466">
        <f>IFERROR(1/J$3,1)*SUMIFS(Data!$AD$3:$AD$137,Data!$Y$3:$Y$137,J$1,Data!$Z$3:$Z$137,IF(RIGHT(J$2,3)="YTD","&lt;="&amp;LEFT(J$2,2)*1,J$2),Data!$K$3:$K$137,$B46)</f>
      </c>
      <c r="K46" s="466">
        <f>IFERROR(1/K$3,1)*SUMIFS(Data!$AD$3:$AD$137,Data!$Y$3:$Y$137,K$1,Data!$Z$3:$Z$137,IF(RIGHT(K$2,3)="YTD","&lt;="&amp;LEFT(K$2,2)*1,K$2),Data!$K$3:$K$137,$B46)</f>
      </c>
      <c r="L46" s="466">
        <f>IFERROR(1/L$3,1)*SUMIFS(Data!$AD$3:$AD$137,Data!$Y$3:$Y$137,L$1,Data!$Z$3:$Z$137,IF(RIGHT(L$2,3)="YTD","&lt;="&amp;LEFT(L$2,2)*1,L$2),Data!$K$3:$K$137,$B46)</f>
      </c>
      <c r="M46" s="466">
        <f>IFERROR(1/M$3,1)*SUMIFS(Data!$AD$3:$AD$137,Data!$Y$3:$Y$137,M$1,Data!$Z$3:$Z$137,IF(RIGHT(M$2,3)="YTD","&lt;="&amp;LEFT(M$2,2)*1,M$2),Data!$K$3:$K$137,$B46)</f>
      </c>
      <c r="N46" s="466">
        <f>IFERROR(1/N$3,1)*SUMIFS(Data!$AD$3:$AD$137,Data!$Y$3:$Y$137,N$1,Data!$Z$3:$Z$137,IF(RIGHT(N$2,3)="YTD","&lt;="&amp;LEFT(N$2,2)*1,N$2),Data!$K$3:$K$137,$B46)</f>
      </c>
      <c r="O46" s="466">
        <f>IFERROR(1/O$3,1)*SUMIFS(Data!$AD$3:$AD$137,Data!$Y$3:$Y$137,O$1,Data!$Z$3:$Z$137,IF(RIGHT(O$2,3)="YTD","&lt;="&amp;LEFT(O$2,2)*1,O$2),Data!$K$3:$K$137,$B46)</f>
      </c>
      <c r="P46" s="466">
        <f>IFERROR(1/P$3,1)*SUMIFS(Data!$AD$3:$AD$137,Data!$Y$3:$Y$137,P$1,Data!$Z$3:$Z$137,IF(RIGHT(P$2,3)="YTD","&lt;="&amp;LEFT(P$2,2)*1,P$2),Data!$K$3:$K$137,$B46)</f>
      </c>
      <c r="Q46" s="466">
        <f>IFERROR(1/Q$3,1)*SUMIFS(Data!$AD$3:$AD$137,Data!$Y$3:$Y$137,Q$1,Data!$Z$3:$Z$137,IF(RIGHT(Q$2,3)="YTD","&lt;="&amp;LEFT(Q$2,2)*1,Q$2),Data!$K$3:$K$137,$B46)</f>
      </c>
      <c r="R46" s="466">
        <f>IFERROR(1/R$3,1)*SUMIFS(Data!$AD$3:$AD$137,Data!$Y$3:$Y$137,R$1,Data!$Z$3:$Z$137,IF(RIGHT(R$2,3)="YTD","&lt;="&amp;LEFT(R$2,2)*1,R$2),Data!$K$3:$K$137,$B46)</f>
      </c>
      <c r="S46" s="466">
        <f>IFERROR(1/S$3,1)*SUMIFS(Data!$AD$3:$AD$137,Data!$Y$3:$Y$137,S$1,Data!$Z$3:$Z$137,IF(RIGHT(S$2,3)="YTD","&lt;="&amp;LEFT(S$2,2)*1,S$2),Data!$K$3:$K$137,$B46)</f>
      </c>
      <c r="T46" s="466">
        <f>IFERROR(1/T$3,1)*SUMIFS(Data!$AD$3:$AD$137,Data!$Y$3:$Y$137,T$1,Data!$Z$3:$Z$137,IF(RIGHT(T$2,3)="YTD","&lt;="&amp;LEFT(T$2,2)*1,T$2),Data!$K$3:$K$137,$B46)</f>
      </c>
      <c r="U46" s="3"/>
      <c r="V46" s="466">
        <f>E46</f>
      </c>
      <c r="W46" s="466">
        <f>F46</f>
      </c>
      <c r="X46" s="466">
        <f>G46</f>
      </c>
      <c r="Y46" s="466">
        <f>$G46</f>
      </c>
      <c r="Z46" s="466">
        <f>$G46</f>
      </c>
      <c r="AA46" s="466">
        <f>$G46</f>
      </c>
      <c r="AB46" s="466">
        <f>$G46</f>
      </c>
      <c r="AC46" s="466">
        <f>$G46</f>
      </c>
      <c r="AD46" s="466">
        <f>$G46</f>
      </c>
      <c r="AE46" s="466">
        <f>$G46</f>
      </c>
      <c r="AF46" s="466">
        <f>$G46</f>
      </c>
      <c r="AG46" s="466"/>
      <c r="AH46" s="466">
        <f>IFERROR(1/AH$3,1)*SUMIFS(Data!$AD$3:$AD$137,Data!$Y$3:$Y$137,AH$1,Data!$Z$3:$Z$137,IF(RIGHT(AH$2,3)="YTD","&lt;="&amp;LEFT(AH$2,2)*1,AH$2),Data!$K$3:$K$137,$B22)</f>
      </c>
      <c r="AI46" s="466">
        <f>AM46/12*$C$5</f>
      </c>
      <c r="AJ46" s="467">
        <f>AH46-AI46</f>
      </c>
      <c r="AK46" s="3"/>
      <c r="AL46" s="466">
        <v>130576</v>
      </c>
      <c r="AM46" s="469">
        <v>250000</v>
      </c>
      <c r="AN46" s="3"/>
      <c r="AO46" s="3"/>
      <c r="AP46" s="3"/>
      <c r="AQ46" s="3"/>
      <c r="AR46" s="3"/>
      <c r="AS46" s="3"/>
      <c r="AT46" s="3"/>
      <c r="AU46" s="3"/>
    </row>
    <row x14ac:dyDescent="0.25" r="47" customHeight="1" ht="19.5" hidden="1">
      <c r="A47" s="3" t="s">
        <v>549</v>
      </c>
      <c r="B47" s="478" t="s">
        <v>550</v>
      </c>
      <c r="C47" s="468" t="s">
        <v>535</v>
      </c>
      <c r="D47" s="3"/>
      <c r="E47" s="466">
        <f>$AL47/E$3</f>
      </c>
      <c r="F47" s="466">
        <f>IFERROR(1/F$3,1)*SUMIFS(Data!$AD$3:$AD$137,Data!$Y$3:$Y$137,F$1,Data!$Z$3:$Z$137,IF(RIGHT(F$2,3)="YTD","&lt;="&amp;LEFT(F$2,2)*1,F$2),Data!$K$3:$K$137,$B47)</f>
      </c>
      <c r="G47" s="466">
        <f>AM47/12</f>
      </c>
      <c r="H47" s="476"/>
      <c r="I47" s="466">
        <f>IFERROR(1/I$3,1)*SUMIFS(Data!$AD$3:$AD$137,Data!$Y$3:$Y$137,I$1,Data!$Z$3:$Z$137,IF(RIGHT(I$2,3)="YTD","&lt;="&amp;LEFT(I$2,2)*1,I$2),Data!$K$3:$K$137,$B47)</f>
      </c>
      <c r="J47" s="466">
        <f>IFERROR(1/J$3,1)*SUMIFS(Data!$AD$3:$AD$137,Data!$Y$3:$Y$137,J$1,Data!$Z$3:$Z$137,IF(RIGHT(J$2,3)="YTD","&lt;="&amp;LEFT(J$2,2)*1,J$2),Data!$K$3:$K$137,$B47)</f>
      </c>
      <c r="K47" s="466">
        <f>IFERROR(1/K$3,1)*SUMIFS(Data!$AD$3:$AD$137,Data!$Y$3:$Y$137,K$1,Data!$Z$3:$Z$137,IF(RIGHT(K$2,3)="YTD","&lt;="&amp;LEFT(K$2,2)*1,K$2),Data!$K$3:$K$137,$B47)</f>
      </c>
      <c r="L47" s="466">
        <f>IFERROR(1/L$3,1)*SUMIFS(Data!$AD$3:$AD$137,Data!$Y$3:$Y$137,L$1,Data!$Z$3:$Z$137,IF(RIGHT(L$2,3)="YTD","&lt;="&amp;LEFT(L$2,2)*1,L$2),Data!$K$3:$K$137,$B47)</f>
      </c>
      <c r="M47" s="466">
        <f>IFERROR(1/M$3,1)*SUMIFS(Data!$AD$3:$AD$137,Data!$Y$3:$Y$137,M$1,Data!$Z$3:$Z$137,IF(RIGHT(M$2,3)="YTD","&lt;="&amp;LEFT(M$2,2)*1,M$2),Data!$K$3:$K$137,$B47)</f>
      </c>
      <c r="N47" s="466">
        <f>IFERROR(1/N$3,1)*SUMIFS(Data!$AD$3:$AD$137,Data!$Y$3:$Y$137,N$1,Data!$Z$3:$Z$137,IF(RIGHT(N$2,3)="YTD","&lt;="&amp;LEFT(N$2,2)*1,N$2),Data!$K$3:$K$137,$B47)</f>
      </c>
      <c r="O47" s="466">
        <f>IFERROR(1/O$3,1)*SUMIFS(Data!$AD$3:$AD$137,Data!$Y$3:$Y$137,O$1,Data!$Z$3:$Z$137,IF(RIGHT(O$2,3)="YTD","&lt;="&amp;LEFT(O$2,2)*1,O$2),Data!$K$3:$K$137,$B47)</f>
      </c>
      <c r="P47" s="466">
        <f>IFERROR(1/P$3,1)*SUMIFS(Data!$AD$3:$AD$137,Data!$Y$3:$Y$137,P$1,Data!$Z$3:$Z$137,IF(RIGHT(P$2,3)="YTD","&lt;="&amp;LEFT(P$2,2)*1,P$2),Data!$K$3:$K$137,$B47)</f>
      </c>
      <c r="Q47" s="466">
        <f>IFERROR(1/Q$3,1)*SUMIFS(Data!$AD$3:$AD$137,Data!$Y$3:$Y$137,Q$1,Data!$Z$3:$Z$137,IF(RIGHT(Q$2,3)="YTD","&lt;="&amp;LEFT(Q$2,2)*1,Q$2),Data!$K$3:$K$137,$B47)</f>
      </c>
      <c r="R47" s="466">
        <f>IFERROR(1/R$3,1)*SUMIFS(Data!$AD$3:$AD$137,Data!$Y$3:$Y$137,R$1,Data!$Z$3:$Z$137,IF(RIGHT(R$2,3)="YTD","&lt;="&amp;LEFT(R$2,2)*1,R$2),Data!$K$3:$K$137,$B47)</f>
      </c>
      <c r="S47" s="466">
        <f>IFERROR(1/S$3,1)*SUMIFS(Data!$AD$3:$AD$137,Data!$Y$3:$Y$137,S$1,Data!$Z$3:$Z$137,IF(RIGHT(S$2,3)="YTD","&lt;="&amp;LEFT(S$2,2)*1,S$2),Data!$K$3:$K$137,$B47)</f>
      </c>
      <c r="T47" s="466">
        <f>IFERROR(1/T$3,1)*SUMIFS(Data!$AD$3:$AD$137,Data!$Y$3:$Y$137,T$1,Data!$Z$3:$Z$137,IF(RIGHT(T$2,3)="YTD","&lt;="&amp;LEFT(T$2,2)*1,T$2),Data!$K$3:$K$137,$B47)</f>
      </c>
      <c r="U47" s="3"/>
      <c r="V47" s="466">
        <f>E47</f>
      </c>
      <c r="W47" s="466">
        <f>F47</f>
      </c>
      <c r="X47" s="466">
        <f>G47</f>
      </c>
      <c r="Y47" s="466">
        <f>$G47</f>
      </c>
      <c r="Z47" s="466">
        <f>$G47</f>
      </c>
      <c r="AA47" s="466">
        <f>$G47</f>
      </c>
      <c r="AB47" s="466">
        <f>$G47</f>
      </c>
      <c r="AC47" s="466">
        <f>$G47</f>
      </c>
      <c r="AD47" s="466">
        <f>$G47</f>
      </c>
      <c r="AE47" s="466">
        <f>$G47</f>
      </c>
      <c r="AF47" s="466">
        <f>$G47</f>
      </c>
      <c r="AG47" s="466"/>
      <c r="AH47" s="466">
        <f>IFERROR(1/AH$3,1)*SUMIFS(Data!$AD$3:$AD$137,Data!$Y$3:$Y$137,AH$1,Data!$Z$3:$Z$137,IF(RIGHT(AH$2,3)="YTD","&lt;="&amp;LEFT(AH$2,2)*1,AH$2),Data!$K$3:$K$137,$B23)</f>
      </c>
      <c r="AI47" s="466">
        <f>AM47/12*$C$5</f>
      </c>
      <c r="AJ47" s="467">
        <f>AH47-AI47</f>
      </c>
      <c r="AK47" s="3"/>
      <c r="AL47" s="466">
        <v>8904</v>
      </c>
      <c r="AM47" s="466">
        <v>0</v>
      </c>
      <c r="AN47" s="3"/>
      <c r="AO47" s="3"/>
      <c r="AP47" s="3"/>
      <c r="AQ47" s="3"/>
      <c r="AR47" s="3"/>
      <c r="AS47" s="3"/>
      <c r="AT47" s="3"/>
      <c r="AU47" s="3"/>
    </row>
    <row x14ac:dyDescent="0.25" r="48" customHeight="1" ht="19.5" hidden="1">
      <c r="A48" s="3"/>
      <c r="B48" s="478" t="s">
        <v>551</v>
      </c>
      <c r="C48" s="468" t="s">
        <v>535</v>
      </c>
      <c r="D48" s="3"/>
      <c r="E48" s="466">
        <f>$AL48/E$3</f>
      </c>
      <c r="F48" s="466">
        <f>IFERROR(1/F$3,1)*SUMIFS(Data!$AD$3:$AD$137,Data!$Y$3:$Y$137,F$1,Data!$Z$3:$Z$137,IF(RIGHT(F$2,3)="YTD","&lt;="&amp;LEFT(F$2,2)*1,F$2),Data!$K$3:$K$137,$B48)</f>
      </c>
      <c r="G48" s="466">
        <f>AM48/12</f>
      </c>
      <c r="H48" s="476"/>
      <c r="I48" s="466">
        <f>IFERROR(1/I$3,1)*SUMIFS(Data!$AD$3:$AD$137,Data!$Y$3:$Y$137,I$1,Data!$Z$3:$Z$137,IF(RIGHT(I$2,3)="YTD","&lt;="&amp;LEFT(I$2,2)*1,I$2),Data!$K$3:$K$137,$B48)</f>
      </c>
      <c r="J48" s="466">
        <f>IFERROR(1/J$3,1)*SUMIFS(Data!$AD$3:$AD$137,Data!$Y$3:$Y$137,J$1,Data!$Z$3:$Z$137,IF(RIGHT(J$2,3)="YTD","&lt;="&amp;LEFT(J$2,2)*1,J$2),Data!$K$3:$K$137,$B48)</f>
      </c>
      <c r="K48" s="466">
        <f>IFERROR(1/K$3,1)*SUMIFS(Data!$AD$3:$AD$137,Data!$Y$3:$Y$137,K$1,Data!$Z$3:$Z$137,IF(RIGHT(K$2,3)="YTD","&lt;="&amp;LEFT(K$2,2)*1,K$2),Data!$K$3:$K$137,$B48)</f>
      </c>
      <c r="L48" s="466">
        <f>IFERROR(1/L$3,1)*SUMIFS(Data!$AD$3:$AD$137,Data!$Y$3:$Y$137,L$1,Data!$Z$3:$Z$137,IF(RIGHT(L$2,3)="YTD","&lt;="&amp;LEFT(L$2,2)*1,L$2),Data!$K$3:$K$137,$B48)</f>
      </c>
      <c r="M48" s="466">
        <f>IFERROR(1/M$3,1)*SUMIFS(Data!$AD$3:$AD$137,Data!$Y$3:$Y$137,M$1,Data!$Z$3:$Z$137,IF(RIGHT(M$2,3)="YTD","&lt;="&amp;LEFT(M$2,2)*1,M$2),Data!$K$3:$K$137,$B48)</f>
      </c>
      <c r="N48" s="466">
        <f>IFERROR(1/N$3,1)*SUMIFS(Data!$AD$3:$AD$137,Data!$Y$3:$Y$137,N$1,Data!$Z$3:$Z$137,IF(RIGHT(N$2,3)="YTD","&lt;="&amp;LEFT(N$2,2)*1,N$2),Data!$K$3:$K$137,$B48)</f>
      </c>
      <c r="O48" s="466">
        <f>IFERROR(1/O$3,1)*SUMIFS(Data!$AD$3:$AD$137,Data!$Y$3:$Y$137,O$1,Data!$Z$3:$Z$137,IF(RIGHT(O$2,3)="YTD","&lt;="&amp;LEFT(O$2,2)*1,O$2),Data!$K$3:$K$137,$B48)</f>
      </c>
      <c r="P48" s="466">
        <f>IFERROR(1/P$3,1)*SUMIFS(Data!$AD$3:$AD$137,Data!$Y$3:$Y$137,P$1,Data!$Z$3:$Z$137,IF(RIGHT(P$2,3)="YTD","&lt;="&amp;LEFT(P$2,2)*1,P$2),Data!$K$3:$K$137,$B48)</f>
      </c>
      <c r="Q48" s="466">
        <f>IFERROR(1/Q$3,1)*SUMIFS(Data!$AD$3:$AD$137,Data!$Y$3:$Y$137,Q$1,Data!$Z$3:$Z$137,IF(RIGHT(Q$2,3)="YTD","&lt;="&amp;LEFT(Q$2,2)*1,Q$2),Data!$K$3:$K$137,$B48)</f>
      </c>
      <c r="R48" s="466">
        <f>IFERROR(1/R$3,1)*SUMIFS(Data!$AD$3:$AD$137,Data!$Y$3:$Y$137,R$1,Data!$Z$3:$Z$137,IF(RIGHT(R$2,3)="YTD","&lt;="&amp;LEFT(R$2,2)*1,R$2),Data!$K$3:$K$137,$B48)</f>
      </c>
      <c r="S48" s="466">
        <f>IFERROR(1/S$3,1)*SUMIFS(Data!$AD$3:$AD$137,Data!$Y$3:$Y$137,S$1,Data!$Z$3:$Z$137,IF(RIGHT(S$2,3)="YTD","&lt;="&amp;LEFT(S$2,2)*1,S$2),Data!$K$3:$K$137,$B48)</f>
      </c>
      <c r="T48" s="466">
        <f>IFERROR(1/T$3,1)*SUMIFS(Data!$AD$3:$AD$137,Data!$Y$3:$Y$137,T$1,Data!$Z$3:$Z$137,IF(RIGHT(T$2,3)="YTD","&lt;="&amp;LEFT(T$2,2)*1,T$2),Data!$K$3:$K$137,$B48)</f>
      </c>
      <c r="U48" s="3"/>
      <c r="V48" s="466">
        <f>E48</f>
      </c>
      <c r="W48" s="466">
        <f>F48</f>
      </c>
      <c r="X48" s="466">
        <f>G48</f>
      </c>
      <c r="Y48" s="466">
        <f>$G48</f>
      </c>
      <c r="Z48" s="466">
        <f>$G48</f>
      </c>
      <c r="AA48" s="466">
        <f>$G48</f>
      </c>
      <c r="AB48" s="466">
        <f>$G48</f>
      </c>
      <c r="AC48" s="466">
        <f>$G48</f>
      </c>
      <c r="AD48" s="466">
        <f>$G48</f>
      </c>
      <c r="AE48" s="466">
        <f>$G48</f>
      </c>
      <c r="AF48" s="466">
        <f>$G48</f>
      </c>
      <c r="AG48" s="466"/>
      <c r="AH48" s="466">
        <f>IFERROR(1/AH$3,1)*SUMIFS(Data!$AD$3:$AD$137,Data!$Y$3:$Y$137,AH$1,Data!$Z$3:$Z$137,IF(RIGHT(AH$2,3)="YTD","&lt;="&amp;LEFT(AH$2,2)*1,AH$2),Data!$K$3:$K$137,$B24)</f>
      </c>
      <c r="AI48" s="466">
        <f>AM48/12*$C$5</f>
      </c>
      <c r="AJ48" s="467">
        <f>AH48-AI48</f>
      </c>
      <c r="AK48" s="3"/>
      <c r="AL48" s="466">
        <v>271320</v>
      </c>
      <c r="AM48" s="466">
        <v>0</v>
      </c>
      <c r="AN48" s="3"/>
      <c r="AO48" s="3"/>
      <c r="AP48" s="3"/>
      <c r="AQ48" s="3"/>
      <c r="AR48" s="3"/>
      <c r="AS48" s="3"/>
      <c r="AT48" s="3"/>
      <c r="AU48" s="3"/>
    </row>
    <row x14ac:dyDescent="0.25" r="49" customHeight="1" ht="19.5" hidden="1">
      <c r="A49" s="3"/>
      <c r="B49" s="41" t="s">
        <v>552</v>
      </c>
      <c r="C49" s="468" t="s">
        <v>535</v>
      </c>
      <c r="D49" s="3"/>
      <c r="E49" s="469"/>
      <c r="F49" s="469"/>
      <c r="G49" s="466"/>
      <c r="H49" s="476"/>
      <c r="I49" s="469">
        <f>SUM(I39:I48)</f>
      </c>
      <c r="J49" s="469">
        <f>SUM(J39:J48)</f>
      </c>
      <c r="K49" s="469">
        <f>SUM(K39:K48)</f>
      </c>
      <c r="L49" s="469">
        <f>SUM(L39:L48)</f>
      </c>
      <c r="M49" s="469">
        <f>SUM(M39:M48)</f>
      </c>
      <c r="N49" s="469">
        <f>SUM(N39:N48)</f>
      </c>
      <c r="O49" s="469">
        <f>SUM(O39:O48)</f>
      </c>
      <c r="P49" s="469">
        <f>SUM(P39:P48)</f>
      </c>
      <c r="Q49" s="469">
        <f>SUM(Q39:Q48)</f>
      </c>
      <c r="R49" s="469">
        <f>SUM(R39:R48)</f>
      </c>
      <c r="S49" s="469">
        <f>SUM(S39:S48)</f>
      </c>
      <c r="T49" s="469">
        <f>SUM(T39:T48)</f>
      </c>
      <c r="U49" s="469"/>
      <c r="V49" s="469">
        <f>SUM(V39:V48)</f>
      </c>
      <c r="W49" s="469">
        <f>SUM(W39:W48)</f>
      </c>
      <c r="X49" s="469">
        <f>SUM(X39:X48)</f>
      </c>
      <c r="Y49" s="469">
        <f>SUM(Y39:Y48)</f>
      </c>
      <c r="Z49" s="469">
        <f>SUM(Z39:Z48)</f>
      </c>
      <c r="AA49" s="469">
        <f>SUM(AA39:AA48)</f>
      </c>
      <c r="AB49" s="469"/>
      <c r="AC49" s="469"/>
      <c r="AD49" s="469"/>
      <c r="AE49" s="469"/>
      <c r="AF49" s="469"/>
      <c r="AG49" s="469"/>
      <c r="AH49" s="469">
        <f>SUM(AH39:AH48)</f>
      </c>
      <c r="AI49" s="469">
        <f>SUM(AI39:AI48)</f>
      </c>
      <c r="AJ49" s="469">
        <f>SUM(AJ39:AJ48)</f>
      </c>
      <c r="AK49" s="3"/>
      <c r="AL49" s="469">
        <v>1606577.5</v>
      </c>
      <c r="AM49" s="469">
        <f>SUM(AM39:AM48)</f>
      </c>
      <c r="AN49" s="3"/>
      <c r="AO49" s="3"/>
      <c r="AP49" s="3"/>
      <c r="AQ49" s="3"/>
      <c r="AR49" s="3"/>
      <c r="AS49" s="3"/>
      <c r="AT49" s="3"/>
      <c r="AU49" s="3"/>
    </row>
    <row x14ac:dyDescent="0.25" r="50" customHeight="1" ht="19.5" hidden="1">
      <c r="A50" s="3"/>
      <c r="B50" s="470" t="s">
        <v>553</v>
      </c>
      <c r="C50" s="468" t="s">
        <v>535</v>
      </c>
      <c r="D50" s="3"/>
      <c r="E50" s="471">
        <f>$AL50/E$3</f>
      </c>
      <c r="F50" s="471">
        <f>SUM(I50:T50)/LEFT($F$2,2)</f>
      </c>
      <c r="G50" s="471">
        <f>AM50/12</f>
      </c>
      <c r="H50" s="476"/>
      <c r="I50" s="471">
        <f>Reporting!C74</f>
      </c>
      <c r="J50" s="471">
        <f>Reporting!D74</f>
      </c>
      <c r="K50" s="471">
        <f>Reporting!E74</f>
      </c>
      <c r="L50" s="471">
        <f>Reporting!F74</f>
      </c>
      <c r="M50" s="471">
        <f>Reporting!G74</f>
      </c>
      <c r="N50" s="479">
        <f>Reporting!H74</f>
      </c>
      <c r="O50" s="479">
        <f>Reporting!I74</f>
      </c>
      <c r="P50" s="479">
        <f>Reporting!J74</f>
      </c>
      <c r="Q50" s="479">
        <f>Reporting!K74</f>
      </c>
      <c r="R50" s="479">
        <f>Reporting!L74</f>
      </c>
      <c r="S50" s="479">
        <f>Reporting!M74</f>
      </c>
      <c r="T50" s="479">
        <f>Reporting!N74</f>
      </c>
      <c r="U50" s="3"/>
      <c r="V50" s="479">
        <f>E50</f>
      </c>
      <c r="W50" s="479">
        <f>F50</f>
      </c>
      <c r="X50" s="479">
        <f>G50</f>
      </c>
      <c r="Y50" s="471">
        <f>G50</f>
      </c>
      <c r="Z50" s="471">
        <f>G50</f>
      </c>
      <c r="AA50" s="471">
        <f>G50</f>
      </c>
      <c r="AB50" s="471">
        <f>X50</f>
      </c>
      <c r="AC50" s="471">
        <f>X50</f>
      </c>
      <c r="AD50" s="471">
        <f>X50</f>
      </c>
      <c r="AE50" s="471">
        <f>X50</f>
      </c>
      <c r="AF50" s="471">
        <f>AB50</f>
      </c>
      <c r="AG50" s="471"/>
      <c r="AH50" s="471">
        <f>SUM(I50:T50)</f>
      </c>
      <c r="AI50" s="471">
        <f>AM50/12*$C$5</f>
      </c>
      <c r="AJ50" s="472"/>
      <c r="AK50" s="3"/>
      <c r="AL50" s="471">
        <v>2943191.83</v>
      </c>
      <c r="AM50" s="490">
        <v>6630000</v>
      </c>
      <c r="AN50" s="3"/>
      <c r="AO50" s="3"/>
      <c r="AP50" s="3"/>
      <c r="AQ50" s="3"/>
      <c r="AR50" s="3"/>
      <c r="AS50" s="3"/>
      <c r="AT50" s="3"/>
      <c r="AU50" s="3"/>
    </row>
    <row x14ac:dyDescent="0.25" r="51" customHeight="1" ht="19.5" hidden="1">
      <c r="A51" s="3"/>
      <c r="B51" s="41" t="s">
        <v>554</v>
      </c>
      <c r="C51" s="468" t="s">
        <v>535</v>
      </c>
      <c r="D51" s="3"/>
      <c r="E51" s="469"/>
      <c r="F51" s="469"/>
      <c r="G51" s="466"/>
      <c r="H51" s="476"/>
      <c r="I51" s="469">
        <f>I49+I50</f>
      </c>
      <c r="J51" s="469">
        <f>J49+J50</f>
      </c>
      <c r="K51" s="469">
        <f>K49+K50</f>
      </c>
      <c r="L51" s="469">
        <f>L49+L50</f>
      </c>
      <c r="M51" s="469">
        <f>M49+M50</f>
      </c>
      <c r="N51" s="469">
        <f>N49+N50</f>
      </c>
      <c r="O51" s="469">
        <f>O49+O50</f>
      </c>
      <c r="P51" s="469">
        <f>P49+P50</f>
      </c>
      <c r="Q51" s="469">
        <f>Q49+Q50</f>
      </c>
      <c r="R51" s="469">
        <f>R49+R50</f>
      </c>
      <c r="S51" s="469">
        <f>S49+S50</f>
      </c>
      <c r="T51" s="469">
        <f>T49+T50</f>
      </c>
      <c r="U51" s="469"/>
      <c r="V51" s="469">
        <f>V49+V50</f>
      </c>
      <c r="W51" s="469">
        <f>W49+W50</f>
      </c>
      <c r="X51" s="469">
        <f>X49+X50</f>
      </c>
      <c r="Y51" s="469">
        <f>Y49+Y50</f>
      </c>
      <c r="Z51" s="469">
        <f>Z49+Z50</f>
      </c>
      <c r="AA51" s="469">
        <f>AA49+AA50</f>
      </c>
      <c r="AB51" s="469">
        <f>Y51</f>
      </c>
      <c r="AC51" s="469">
        <f>Z51</f>
      </c>
      <c r="AD51" s="469">
        <f>Z51</f>
      </c>
      <c r="AE51" s="469">
        <f>Z51</f>
      </c>
      <c r="AF51" s="469">
        <f>Z51</f>
      </c>
      <c r="AG51" s="469"/>
      <c r="AH51" s="469">
        <f>SUM(I51:S51)</f>
      </c>
      <c r="AI51" s="469">
        <f>AF51*C5</f>
      </c>
      <c r="AJ51" s="473"/>
      <c r="AK51" s="3"/>
      <c r="AL51" s="469">
        <f>SUM(M51:Y51)</f>
      </c>
      <c r="AM51" s="469"/>
      <c r="AN51" s="478"/>
      <c r="AO51" s="478"/>
      <c r="AP51" s="478"/>
      <c r="AQ51" s="478"/>
      <c r="AR51" s="478"/>
      <c r="AS51" s="478"/>
      <c r="AT51" s="478"/>
      <c r="AU51" s="478"/>
    </row>
    <row x14ac:dyDescent="0.25" r="52" customHeight="1" ht="19.5">
      <c r="A52" s="3"/>
      <c r="B52" s="41"/>
      <c r="C52" s="468"/>
      <c r="D52" s="3"/>
      <c r="E52" s="469"/>
      <c r="F52" s="469"/>
      <c r="G52" s="466"/>
      <c r="H52" s="476"/>
      <c r="I52" s="469"/>
      <c r="J52" s="469"/>
      <c r="K52" s="469"/>
      <c r="L52" s="469"/>
      <c r="M52" s="469"/>
      <c r="N52" s="477"/>
      <c r="O52" s="477"/>
      <c r="P52" s="477"/>
      <c r="Q52" s="477"/>
      <c r="R52" s="477"/>
      <c r="S52" s="477"/>
      <c r="T52" s="477"/>
      <c r="U52" s="3"/>
      <c r="V52" s="477"/>
      <c r="W52" s="477"/>
      <c r="X52" s="477"/>
      <c r="Y52" s="469"/>
      <c r="Z52" s="469"/>
      <c r="AA52" s="469"/>
      <c r="AB52" s="469"/>
      <c r="AC52" s="469"/>
      <c r="AD52" s="469"/>
      <c r="AE52" s="469"/>
      <c r="AF52" s="469"/>
      <c r="AG52" s="469"/>
      <c r="AH52" s="469"/>
      <c r="AI52" s="469"/>
      <c r="AJ52" s="473"/>
      <c r="AK52" s="3"/>
      <c r="AL52" s="469"/>
      <c r="AM52" s="469"/>
      <c r="AN52" s="478"/>
      <c r="AO52" s="478"/>
      <c r="AP52" s="478"/>
      <c r="AQ52" s="478"/>
      <c r="AR52" s="478"/>
      <c r="AS52" s="478"/>
      <c r="AT52" s="478"/>
      <c r="AU52" s="478"/>
    </row>
    <row x14ac:dyDescent="0.25" r="53" customHeight="1" ht="19.5" hidden="1">
      <c r="A53" s="3"/>
      <c r="B53" s="198"/>
      <c r="C53" s="30"/>
      <c r="D53" s="3"/>
      <c r="E53" s="475"/>
      <c r="F53" s="475"/>
      <c r="G53" s="475"/>
      <c r="H53" s="3"/>
      <c r="I53" s="475"/>
      <c r="J53" s="475"/>
      <c r="K53" s="475"/>
      <c r="L53" s="475"/>
      <c r="M53" s="475"/>
      <c r="N53" s="475"/>
      <c r="O53" s="475"/>
      <c r="P53" s="475"/>
      <c r="Q53" s="475"/>
      <c r="R53" s="475"/>
      <c r="S53" s="475"/>
      <c r="T53" s="475"/>
      <c r="U53" s="3"/>
      <c r="V53" s="475"/>
      <c r="W53" s="475"/>
      <c r="X53" s="475"/>
      <c r="Y53" s="475"/>
      <c r="Z53" s="475"/>
      <c r="AA53" s="475"/>
      <c r="AB53" s="475"/>
      <c r="AC53" s="475"/>
      <c r="AD53" s="475"/>
      <c r="AE53" s="475"/>
      <c r="AF53" s="440"/>
      <c r="AG53" s="440"/>
      <c r="AH53" s="440"/>
      <c r="AI53" s="440"/>
      <c r="AJ53" s="440"/>
      <c r="AK53" s="3"/>
      <c r="AL53" s="480"/>
      <c r="AM53" s="487"/>
      <c r="AN53" s="3"/>
      <c r="AO53" s="3"/>
      <c r="AP53" s="3"/>
      <c r="AQ53" s="3"/>
      <c r="AR53" s="3"/>
      <c r="AS53" s="3"/>
      <c r="AT53" s="3"/>
      <c r="AU53" s="3"/>
    </row>
    <row x14ac:dyDescent="0.25" r="54" customHeight="1" ht="19.5" hidden="1">
      <c r="A54" s="3"/>
      <c r="B54" s="3"/>
      <c r="C54" s="468"/>
      <c r="D54" s="478"/>
      <c r="E54" s="445" t="s">
        <v>513</v>
      </c>
      <c r="F54" s="448" t="s">
        <v>514</v>
      </c>
      <c r="G54" s="447" t="s">
        <v>575</v>
      </c>
      <c r="H54" s="33"/>
      <c r="I54" s="448">
        <f>TEXT(I$2,"00")&amp;" "&amp;I$1</f>
      </c>
      <c r="J54" s="448">
        <f>TEXT(J$2,"00")&amp;" "&amp;J$1</f>
      </c>
      <c r="K54" s="448">
        <f>TEXT(K$2,"00")&amp;" "&amp;K$1</f>
      </c>
      <c r="L54" s="448">
        <f>TEXT(L$2,"00")&amp;" "&amp;L$1</f>
      </c>
      <c r="M54" s="448">
        <f>TEXT(M$2,"00")&amp;" "&amp;M$1</f>
      </c>
      <c r="N54" s="448">
        <f>TEXT(N$2,"00")&amp;" "&amp;N$1</f>
      </c>
      <c r="O54" s="448">
        <f>TEXT(O$2,"00")&amp;" "&amp;O$1</f>
      </c>
      <c r="P54" s="448">
        <f>TEXT(P$2,"00")&amp;" "&amp;P$1</f>
      </c>
      <c r="Q54" s="448">
        <f>TEXT(Q$2,"00")&amp;" "&amp;Q$1</f>
      </c>
      <c r="R54" s="448">
        <f>TEXT(R$2,"00")&amp;" "&amp;R$1</f>
      </c>
      <c r="S54" s="448">
        <f>TEXT(S$2,"00")&amp;" "&amp;S$1</f>
      </c>
      <c r="T54" s="448">
        <f>TEXT(T$2,"00")&amp;" "&amp;T$1</f>
      </c>
      <c r="U54" s="33"/>
      <c r="V54" s="452" t="s">
        <v>585</v>
      </c>
      <c r="W54" s="452" t="s">
        <v>585</v>
      </c>
      <c r="X54" s="452" t="s">
        <v>585</v>
      </c>
      <c r="Y54" s="452" t="s">
        <v>522</v>
      </c>
      <c r="Z54" s="452" t="s">
        <v>522</v>
      </c>
      <c r="AA54" s="452" t="s">
        <v>522</v>
      </c>
      <c r="AB54" s="452" t="s">
        <v>522</v>
      </c>
      <c r="AC54" s="452" t="s">
        <v>522</v>
      </c>
      <c r="AD54" s="452" t="s">
        <v>522</v>
      </c>
      <c r="AE54" s="452" t="s">
        <v>522</v>
      </c>
      <c r="AF54" s="452" t="s">
        <v>522</v>
      </c>
      <c r="AG54" s="481"/>
      <c r="AH54" s="448">
        <f>AH$2&amp;" "&amp;AH$1</f>
      </c>
      <c r="AI54" s="454">
        <f>AI$2&amp;" "&amp;AI$1</f>
      </c>
      <c r="AJ54" s="455">
        <f>AJ$2&amp;" "&amp;AJ$1</f>
      </c>
      <c r="AK54" s="33"/>
      <c r="AL54" s="456">
        <f>AL$2&amp;" "&amp;AL$1</f>
      </c>
      <c r="AM54" s="454">
        <f>AM$2&amp;" "&amp;AM$1</f>
      </c>
      <c r="AN54" s="3"/>
      <c r="AO54" s="3"/>
      <c r="AP54" s="3"/>
      <c r="AQ54" s="3"/>
      <c r="AR54" s="3"/>
      <c r="AS54" s="3"/>
      <c r="AT54" s="3"/>
      <c r="AU54" s="3"/>
    </row>
    <row x14ac:dyDescent="0.25" r="55" customHeight="1" ht="19.5" hidden="1">
      <c r="A55" s="3"/>
      <c r="B55" s="3"/>
      <c r="C55" s="195"/>
      <c r="D55" s="33"/>
      <c r="E55" s="445" t="s">
        <v>40</v>
      </c>
      <c r="F55" s="448" t="s">
        <v>40</v>
      </c>
      <c r="G55" s="447" t="s">
        <v>441</v>
      </c>
      <c r="H55" s="33"/>
      <c r="I55" s="450" t="s">
        <v>40</v>
      </c>
      <c r="J55" s="450" t="s">
        <v>40</v>
      </c>
      <c r="K55" s="450" t="s">
        <v>40</v>
      </c>
      <c r="L55" s="450" t="s">
        <v>40</v>
      </c>
      <c r="M55" s="448" t="s">
        <v>40</v>
      </c>
      <c r="N55" s="448" t="s">
        <v>40</v>
      </c>
      <c r="O55" s="448" t="s">
        <v>40</v>
      </c>
      <c r="P55" s="448" t="s">
        <v>40</v>
      </c>
      <c r="Q55" s="448" t="s">
        <v>40</v>
      </c>
      <c r="R55" s="448" t="s">
        <v>40</v>
      </c>
      <c r="S55" s="448" t="s">
        <v>40</v>
      </c>
      <c r="T55" s="448" t="s">
        <v>40</v>
      </c>
      <c r="U55" s="33"/>
      <c r="V55" s="452" t="s">
        <v>528</v>
      </c>
      <c r="W55" s="452" t="s">
        <v>528</v>
      </c>
      <c r="X55" s="452" t="s">
        <v>528</v>
      </c>
      <c r="Y55" s="452" t="s">
        <v>528</v>
      </c>
      <c r="Z55" s="452" t="s">
        <v>528</v>
      </c>
      <c r="AA55" s="452" t="s">
        <v>528</v>
      </c>
      <c r="AB55" s="452" t="s">
        <v>528</v>
      </c>
      <c r="AC55" s="452" t="s">
        <v>528</v>
      </c>
      <c r="AD55" s="452" t="s">
        <v>528</v>
      </c>
      <c r="AE55" s="452" t="s">
        <v>528</v>
      </c>
      <c r="AF55" s="452" t="s">
        <v>528</v>
      </c>
      <c r="AG55" s="481"/>
      <c r="AH55" s="448" t="s">
        <v>529</v>
      </c>
      <c r="AI55" s="454" t="s">
        <v>530</v>
      </c>
      <c r="AJ55" s="455" t="s">
        <v>531</v>
      </c>
      <c r="AK55" s="33"/>
      <c r="AL55" s="457" t="s">
        <v>529</v>
      </c>
      <c r="AM55" s="458" t="s">
        <v>530</v>
      </c>
      <c r="AN55" s="3"/>
      <c r="AO55" s="3"/>
      <c r="AP55" s="3"/>
      <c r="AQ55" s="3"/>
      <c r="AR55" s="3"/>
      <c r="AS55" s="3"/>
      <c r="AT55" s="3"/>
      <c r="AU55" s="3"/>
    </row>
    <row x14ac:dyDescent="0.25" r="56" customHeight="1" ht="19.5" hidden="1">
      <c r="A56" s="3"/>
      <c r="B56" s="459" t="s">
        <v>563</v>
      </c>
      <c r="C56" s="3"/>
      <c r="D56" s="3"/>
      <c r="E56" s="8"/>
      <c r="F56" s="440"/>
      <c r="G56" s="8"/>
      <c r="H56" s="3"/>
      <c r="I56" s="487"/>
      <c r="J56" s="487"/>
      <c r="K56" s="487"/>
      <c r="L56" s="487"/>
      <c r="M56" s="440"/>
      <c r="N56" s="440"/>
      <c r="O56" s="440"/>
      <c r="P56" s="440"/>
      <c r="Q56" s="440"/>
      <c r="R56" s="440"/>
      <c r="S56" s="440"/>
      <c r="T56" s="440"/>
      <c r="U56" s="3"/>
      <c r="V56" s="440"/>
      <c r="W56" s="440"/>
      <c r="X56" s="440"/>
      <c r="Y56" s="440"/>
      <c r="Z56" s="440"/>
      <c r="AA56" s="440"/>
      <c r="AB56" s="440"/>
      <c r="AC56" s="440"/>
      <c r="AD56" s="440"/>
      <c r="AE56" s="440"/>
      <c r="AF56" s="440"/>
      <c r="AG56" s="440"/>
      <c r="AH56" s="440"/>
      <c r="AI56" s="440"/>
      <c r="AJ56" s="440"/>
      <c r="AK56" s="3"/>
      <c r="AL56" s="487"/>
      <c r="AM56" s="487"/>
      <c r="AN56" s="3"/>
      <c r="AO56" s="3"/>
      <c r="AP56" s="3"/>
      <c r="AQ56" s="3"/>
      <c r="AR56" s="3"/>
      <c r="AS56" s="3"/>
      <c r="AT56" s="3"/>
      <c r="AU56" s="3"/>
    </row>
    <row x14ac:dyDescent="0.25" r="57" customHeight="1" ht="19.5" hidden="1">
      <c r="A57" s="3"/>
      <c r="B57" s="478" t="s">
        <v>564</v>
      </c>
      <c r="C57" s="468" t="s">
        <v>565</v>
      </c>
      <c r="D57" s="3"/>
      <c r="E57" s="469"/>
      <c r="F57" s="469">
        <f>IFERROR(1/F$3,1)*SUM(I57:T57)</f>
      </c>
      <c r="G57" s="469">
        <f>AM57/12</f>
      </c>
      <c r="H57" s="473"/>
      <c r="I57" s="469">
        <v>46</v>
      </c>
      <c r="J57" s="469">
        <v>44</v>
      </c>
      <c r="K57" s="469">
        <v>61</v>
      </c>
      <c r="L57" s="469">
        <v>12</v>
      </c>
      <c r="M57" s="469"/>
      <c r="N57" s="469"/>
      <c r="O57" s="469"/>
      <c r="P57" s="469"/>
      <c r="Q57" s="469"/>
      <c r="R57" s="469"/>
      <c r="S57" s="469"/>
      <c r="T57" s="469"/>
      <c r="U57" s="473"/>
      <c r="V57" s="469">
        <f>E57</f>
      </c>
      <c r="W57" s="469">
        <f>F57</f>
      </c>
      <c r="X57" s="469">
        <f>G57</f>
      </c>
      <c r="Y57" s="469">
        <f>G57</f>
      </c>
      <c r="Z57" s="469">
        <f>G57</f>
      </c>
      <c r="AA57" s="469">
        <f>G57</f>
      </c>
      <c r="AB57" s="469">
        <f>G57</f>
      </c>
      <c r="AC57" s="469">
        <f>Y57</f>
      </c>
      <c r="AD57" s="469">
        <f>Z57</f>
      </c>
      <c r="AE57" s="469">
        <f>AA57</f>
      </c>
      <c r="AF57" s="469">
        <f>AB57</f>
      </c>
      <c r="AG57" s="469"/>
      <c r="AH57" s="469">
        <f>SUM(I57:L57)</f>
      </c>
      <c r="AI57" s="469">
        <f>AF57*C5</f>
      </c>
      <c r="AJ57" s="473"/>
      <c r="AK57" s="473"/>
      <c r="AL57" s="469">
        <f>SUM(M57:P57)</f>
      </c>
      <c r="AM57" s="469">
        <v>1149</v>
      </c>
      <c r="AN57" s="3"/>
      <c r="AO57" s="3"/>
      <c r="AP57" s="3"/>
      <c r="AQ57" s="3"/>
      <c r="AR57" s="3"/>
      <c r="AS57" s="3"/>
      <c r="AT57" s="3"/>
      <c r="AU57" s="3"/>
    </row>
    <row x14ac:dyDescent="0.25" r="58" customHeight="1" ht="19.5" hidden="1">
      <c r="A58" s="3"/>
      <c r="B58" s="478" t="s">
        <v>568</v>
      </c>
      <c r="C58" s="468" t="s">
        <v>569</v>
      </c>
      <c r="D58" s="3"/>
      <c r="E58" s="469"/>
      <c r="F58" s="469">
        <f>IFERROR(1/F$3,1)*SUM(I58:T58)</f>
      </c>
      <c r="G58" s="469">
        <f>AM58/12</f>
      </c>
      <c r="H58" s="473"/>
      <c r="I58" s="469">
        <v>8169.79</v>
      </c>
      <c r="J58" s="469">
        <v>7471.4</v>
      </c>
      <c r="K58" s="469">
        <v>-410.41</v>
      </c>
      <c r="L58" s="469">
        <v>3676</v>
      </c>
      <c r="M58" s="469"/>
      <c r="N58" s="469"/>
      <c r="O58" s="469"/>
      <c r="P58" s="469"/>
      <c r="Q58" s="469"/>
      <c r="R58" s="469"/>
      <c r="S58" s="469"/>
      <c r="T58" s="469"/>
      <c r="U58" s="473"/>
      <c r="V58" s="469">
        <f>E58</f>
      </c>
      <c r="W58" s="469">
        <f>F58</f>
      </c>
      <c r="X58" s="469">
        <f>G58</f>
      </c>
      <c r="Y58" s="469">
        <f>G58</f>
      </c>
      <c r="Z58" s="469">
        <f>G58</f>
      </c>
      <c r="AA58" s="469">
        <f>G58</f>
      </c>
      <c r="AB58" s="469">
        <f>G58</f>
      </c>
      <c r="AC58" s="469">
        <f>Y58</f>
      </c>
      <c r="AD58" s="469">
        <f>Z58</f>
      </c>
      <c r="AE58" s="469">
        <f>AA58</f>
      </c>
      <c r="AF58" s="469">
        <f>AB58</f>
      </c>
      <c r="AG58" s="469"/>
      <c r="AH58" s="469">
        <f>SUM(I58:K58)</f>
      </c>
      <c r="AI58" s="469">
        <f>AF58*C5</f>
      </c>
      <c r="AJ58" s="473"/>
      <c r="AK58" s="473"/>
      <c r="AL58" s="469">
        <f>SUM(M58:O58)</f>
      </c>
      <c r="AM58" s="469">
        <v>214000</v>
      </c>
      <c r="AN58" s="3"/>
      <c r="AO58" s="3"/>
      <c r="AP58" s="3"/>
      <c r="AQ58" s="3"/>
      <c r="AR58" s="3"/>
      <c r="AS58" s="3"/>
      <c r="AT58" s="3"/>
      <c r="AU58" s="3"/>
    </row>
    <row x14ac:dyDescent="0.25" r="59" customHeight="1" ht="19.5" hidden="1">
      <c r="A59" s="3"/>
      <c r="B59" s="478" t="s">
        <v>572</v>
      </c>
      <c r="C59" s="468" t="s">
        <v>569</v>
      </c>
      <c r="D59" s="3"/>
      <c r="E59" s="469"/>
      <c r="F59" s="469">
        <f>IFERROR(1/F$3,1)*SUM(I59:T59)</f>
      </c>
      <c r="G59" s="469">
        <f>AM59/12</f>
      </c>
      <c r="H59" s="473"/>
      <c r="I59" s="469">
        <v>11726</v>
      </c>
      <c r="J59" s="469">
        <v>11843.6</v>
      </c>
      <c r="K59" s="469">
        <v>3296</v>
      </c>
      <c r="L59" s="469">
        <v>5351</v>
      </c>
      <c r="M59" s="469"/>
      <c r="N59" s="469"/>
      <c r="O59" s="469"/>
      <c r="P59" s="469"/>
      <c r="Q59" s="469"/>
      <c r="R59" s="469"/>
      <c r="S59" s="469"/>
      <c r="T59" s="469"/>
      <c r="U59" s="473"/>
      <c r="V59" s="469">
        <f>E59</f>
      </c>
      <c r="W59" s="469">
        <f>F59</f>
      </c>
      <c r="X59" s="469">
        <f>G59</f>
      </c>
      <c r="Y59" s="469">
        <f>G59</f>
      </c>
      <c r="Z59" s="469">
        <f>G59</f>
      </c>
      <c r="AA59" s="469">
        <f>G59</f>
      </c>
      <c r="AB59" s="469">
        <f>G59</f>
      </c>
      <c r="AC59" s="469">
        <f>Y59</f>
      </c>
      <c r="AD59" s="469">
        <f>Z59</f>
      </c>
      <c r="AE59" s="469">
        <f>AA59</f>
      </c>
      <c r="AF59" s="469">
        <f>AB59</f>
      </c>
      <c r="AG59" s="469"/>
      <c r="AH59" s="469">
        <f>SUM(I59:K59)</f>
      </c>
      <c r="AI59" s="469">
        <f>AF59*C5</f>
      </c>
      <c r="AJ59" s="473"/>
      <c r="AK59" s="473"/>
      <c r="AL59" s="469">
        <f>SUM(M59:O59)</f>
      </c>
      <c r="AM59" s="469">
        <v>500000</v>
      </c>
      <c r="AN59" s="3"/>
      <c r="AO59" s="3"/>
      <c r="AP59" s="3"/>
      <c r="AQ59" s="3"/>
      <c r="AR59" s="3"/>
      <c r="AS59" s="3"/>
      <c r="AT59" s="3"/>
      <c r="AU59" s="3"/>
    </row>
    <row x14ac:dyDescent="0.25" r="60" customHeight="1" ht="19.5" hidden="1">
      <c r="A60" s="3"/>
      <c r="B60" s="33"/>
      <c r="C60" s="3"/>
      <c r="D60" s="3"/>
      <c r="E60" s="8"/>
      <c r="F60" s="440"/>
      <c r="G60" s="8"/>
      <c r="H60" s="3"/>
      <c r="I60" s="487"/>
      <c r="J60" s="487"/>
      <c r="K60" s="487"/>
      <c r="L60" s="487"/>
      <c r="M60" s="440"/>
      <c r="N60" s="440"/>
      <c r="O60" s="440"/>
      <c r="P60" s="440"/>
      <c r="Q60" s="440"/>
      <c r="R60" s="440"/>
      <c r="S60" s="440"/>
      <c r="T60" s="440"/>
      <c r="U60" s="3"/>
      <c r="V60" s="440"/>
      <c r="W60" s="440"/>
      <c r="X60" s="440"/>
      <c r="Y60" s="440"/>
      <c r="Z60" s="440"/>
      <c r="AA60" s="440"/>
      <c r="AB60" s="440"/>
      <c r="AC60" s="440"/>
      <c r="AD60" s="440"/>
      <c r="AE60" s="440"/>
      <c r="AF60" s="440"/>
      <c r="AG60" s="440"/>
      <c r="AH60" s="440"/>
      <c r="AI60" s="440"/>
      <c r="AJ60" s="440"/>
      <c r="AK60" s="3"/>
      <c r="AL60" s="487"/>
      <c r="AM60" s="487"/>
      <c r="AN60" s="3"/>
      <c r="AO60" s="3"/>
      <c r="AP60" s="3"/>
      <c r="AQ60" s="3"/>
      <c r="AR60" s="3"/>
      <c r="AS60" s="3"/>
      <c r="AT60" s="3"/>
      <c r="AU60" s="3"/>
    </row>
    <row x14ac:dyDescent="0.25" r="61" customHeight="1" ht="19.5" hidden="1">
      <c r="A61" s="3"/>
      <c r="B61" s="3"/>
      <c r="C61" s="3"/>
      <c r="D61" s="3"/>
      <c r="E61" s="8"/>
      <c r="F61" s="440"/>
      <c r="G61" s="8"/>
      <c r="H61" s="3"/>
      <c r="I61" s="487"/>
      <c r="J61" s="487"/>
      <c r="K61" s="487"/>
      <c r="L61" s="487"/>
      <c r="M61" s="440"/>
      <c r="N61" s="440"/>
      <c r="O61" s="440"/>
      <c r="P61" s="440"/>
      <c r="Q61" s="440"/>
      <c r="R61" s="440"/>
      <c r="S61" s="440"/>
      <c r="T61" s="440"/>
      <c r="U61" s="3"/>
      <c r="V61" s="440"/>
      <c r="W61" s="440"/>
      <c r="X61" s="440"/>
      <c r="Y61" s="440"/>
      <c r="Z61" s="440"/>
      <c r="AA61" s="440"/>
      <c r="AB61" s="440"/>
      <c r="AC61" s="440"/>
      <c r="AD61" s="440"/>
      <c r="AE61" s="440"/>
      <c r="AF61" s="440"/>
      <c r="AG61" s="440"/>
      <c r="AH61" s="440"/>
      <c r="AI61" s="440"/>
      <c r="AJ61" s="440"/>
      <c r="AK61" s="3"/>
      <c r="AL61" s="487"/>
      <c r="AM61" s="487"/>
      <c r="AN61" s="3"/>
      <c r="AO61" s="3"/>
      <c r="AP61" s="3"/>
      <c r="AQ61" s="3"/>
      <c r="AR61" s="3"/>
      <c r="AS61" s="3"/>
      <c r="AT61" s="3"/>
      <c r="AU61" s="3"/>
    </row>
    <row x14ac:dyDescent="0.25" r="62" customHeight="1" ht="19.5" hidden="1">
      <c r="A62" s="3"/>
      <c r="B62" s="3"/>
      <c r="C62" s="3"/>
      <c r="D62" s="3"/>
      <c r="E62" s="8"/>
      <c r="F62" s="491"/>
      <c r="G62" s="8"/>
      <c r="H62" s="3"/>
      <c r="I62" s="487"/>
      <c r="J62" s="487"/>
      <c r="K62" s="487"/>
      <c r="L62" s="487"/>
      <c r="M62" s="440"/>
      <c r="N62" s="440"/>
      <c r="O62" s="440"/>
      <c r="P62" s="440"/>
      <c r="Q62" s="440"/>
      <c r="R62" s="440"/>
      <c r="S62" s="440"/>
      <c r="T62" s="440"/>
      <c r="U62" s="3"/>
      <c r="V62" s="440"/>
      <c r="W62" s="440"/>
      <c r="X62" s="440"/>
      <c r="Y62" s="440"/>
      <c r="Z62" s="440"/>
      <c r="AA62" s="440"/>
      <c r="AB62" s="440"/>
      <c r="AC62" s="440"/>
      <c r="AD62" s="440"/>
      <c r="AE62" s="440"/>
      <c r="AF62" s="440"/>
      <c r="AG62" s="440"/>
      <c r="AH62" s="440"/>
      <c r="AI62" s="440"/>
      <c r="AJ62" s="440"/>
      <c r="AK62" s="3"/>
      <c r="AL62" s="487"/>
      <c r="AM62" s="487"/>
      <c r="AN62" s="3"/>
      <c r="AO62" s="3"/>
      <c r="AP62" s="3"/>
      <c r="AQ62" s="3"/>
      <c r="AR62" s="3"/>
      <c r="AS62" s="3"/>
      <c r="AT62" s="3"/>
      <c r="AU62" s="3"/>
    </row>
    <row x14ac:dyDescent="0.25" r="63" customHeight="1" ht="19.5" hidden="1">
      <c r="A63" s="3"/>
      <c r="B63" s="3"/>
      <c r="C63" s="3"/>
      <c r="D63" s="3"/>
      <c r="E63" s="8"/>
      <c r="F63" s="440"/>
      <c r="G63" s="8"/>
      <c r="H63" s="3"/>
      <c r="I63" s="487"/>
      <c r="J63" s="487"/>
      <c r="K63" s="487"/>
      <c r="L63" s="487"/>
      <c r="M63" s="440"/>
      <c r="N63" s="440"/>
      <c r="O63" s="440"/>
      <c r="P63" s="440"/>
      <c r="Q63" s="440"/>
      <c r="R63" s="440"/>
      <c r="S63" s="440"/>
      <c r="T63" s="440"/>
      <c r="U63" s="3"/>
      <c r="V63" s="440"/>
      <c r="W63" s="440"/>
      <c r="X63" s="440"/>
      <c r="Y63" s="440"/>
      <c r="Z63" s="440"/>
      <c r="AA63" s="440"/>
      <c r="AB63" s="440"/>
      <c r="AC63" s="440"/>
      <c r="AD63" s="440"/>
      <c r="AE63" s="440"/>
      <c r="AF63" s="440"/>
      <c r="AG63" s="440"/>
      <c r="AH63" s="440"/>
      <c r="AI63" s="440"/>
      <c r="AJ63" s="440"/>
      <c r="AK63" s="3"/>
      <c r="AL63" s="487"/>
      <c r="AM63" s="487"/>
      <c r="AN63" s="3"/>
      <c r="AO63" s="3"/>
      <c r="AP63" s="3"/>
      <c r="AQ63" s="3"/>
      <c r="AR63" s="3"/>
      <c r="AS63" s="3"/>
      <c r="AT63" s="3"/>
      <c r="AU63" s="3"/>
    </row>
    <row x14ac:dyDescent="0.25" r="64" customHeight="1" ht="19.5">
      <c r="A64" s="3"/>
      <c r="B64" s="3"/>
      <c r="C64" s="3"/>
      <c r="D64" s="3"/>
      <c r="E64" s="8"/>
      <c r="F64" s="440"/>
      <c r="G64" s="8"/>
      <c r="H64" s="3"/>
      <c r="I64" s="487"/>
      <c r="J64" s="487"/>
      <c r="K64" s="487"/>
      <c r="L64" s="487"/>
      <c r="M64" s="440"/>
      <c r="N64" s="440"/>
      <c r="O64" s="440"/>
      <c r="P64" s="440"/>
      <c r="Q64" s="440"/>
      <c r="R64" s="440"/>
      <c r="S64" s="440"/>
      <c r="T64" s="440"/>
      <c r="U64" s="3"/>
      <c r="V64" s="440"/>
      <c r="W64" s="440"/>
      <c r="X64" s="440"/>
      <c r="Y64" s="440"/>
      <c r="Z64" s="440"/>
      <c r="AA64" s="440"/>
      <c r="AB64" s="440"/>
      <c r="AC64" s="440"/>
      <c r="AD64" s="440"/>
      <c r="AE64" s="440"/>
      <c r="AF64" s="440"/>
      <c r="AG64" s="440"/>
      <c r="AH64" s="440"/>
      <c r="AI64" s="440"/>
      <c r="AJ64" s="440"/>
      <c r="AK64" s="3"/>
      <c r="AL64" s="487"/>
      <c r="AM64" s="487"/>
      <c r="AN64" s="3"/>
      <c r="AO64" s="3"/>
      <c r="AP64" s="3"/>
      <c r="AQ64" s="3"/>
      <c r="AR64" s="3"/>
      <c r="AS64" s="3"/>
      <c r="AT64" s="3"/>
      <c r="AU6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R56"/>
  <sheetViews>
    <sheetView workbookViewId="0"/>
  </sheetViews>
  <sheetFormatPr defaultRowHeight="15" x14ac:dyDescent="0.25"/>
  <cols>
    <col min="1" max="1" style="17" width="14.576428571428572" customWidth="1" bestFit="1"/>
    <col min="2" max="2" style="483" width="50.86214285714286" customWidth="1" bestFit="1"/>
    <col min="3" max="3" style="17" width="14.147857142857141" customWidth="1" bestFit="1" hidden="1"/>
    <col min="4" max="4" style="17" width="14.147857142857141" customWidth="1" bestFit="1" hidden="1"/>
    <col min="5" max="5" style="18" width="14.147857142857141" customWidth="1" bestFit="1" hidden="1"/>
    <col min="6" max="6" style="18" width="14.147857142857141" customWidth="1" bestFit="1" hidden="1"/>
    <col min="7" max="7" style="18" width="14.147857142857141" customWidth="1" bestFit="1" hidden="1"/>
    <col min="8" max="8" style="17" width="14.147857142857141" customWidth="1" bestFit="1" hidden="1"/>
    <col min="9" max="9" style="484" width="11.862142857142858" customWidth="1" bestFit="1"/>
    <col min="10" max="10" style="484" width="10.862142857142858" customWidth="1" bestFit="1"/>
    <col min="11" max="11" style="484" width="10.862142857142858" customWidth="1" bestFit="1"/>
    <col min="12" max="12" style="484" width="10.862142857142858" customWidth="1" bestFit="1"/>
    <col min="13" max="13" style="485" width="14.147857142857141" customWidth="1" bestFit="1" hidden="1"/>
    <col min="14" max="14" style="485" width="14.147857142857141" customWidth="1" bestFit="1" hidden="1"/>
    <col min="15" max="15" style="485" width="14.147857142857141" customWidth="1" bestFit="1" hidden="1"/>
    <col min="16" max="16" style="485" width="14.147857142857141" customWidth="1" bestFit="1" hidden="1"/>
    <col min="17" max="17" style="485" width="14.147857142857141" customWidth="1" bestFit="1" hidden="1"/>
    <col min="18" max="18" style="485" width="14.147857142857141" customWidth="1" bestFit="1" hidden="1"/>
    <col min="19" max="19" style="485" width="14.147857142857141" customWidth="1" bestFit="1" hidden="1"/>
    <col min="20" max="20" style="485" width="14.147857142857141" customWidth="1" bestFit="1" hidden="1"/>
    <col min="21" max="21" style="17" width="14.147857142857141" customWidth="1" bestFit="1" hidden="1"/>
    <col min="22" max="22" style="484" width="8.43357142857143" customWidth="1" bestFit="1"/>
    <col min="23" max="23" style="484" width="8.862142857142858" customWidth="1" bestFit="1"/>
    <col min="24" max="24" style="484" width="8.862142857142858" customWidth="1" bestFit="1"/>
    <col min="25" max="25" style="484" width="8.862142857142858" customWidth="1" bestFit="1"/>
    <col min="26" max="26" style="484" width="8.862142857142858" customWidth="1" bestFit="1"/>
    <col min="27" max="27" style="484" width="8.862142857142858" customWidth="1" bestFit="1"/>
    <col min="28" max="28" style="485" width="8.862142857142858" customWidth="1" bestFit="1"/>
    <col min="29" max="29" style="485" width="8.862142857142858" customWidth="1" bestFit="1"/>
    <col min="30" max="30" style="485" width="14.147857142857141" customWidth="1" bestFit="1" hidden="1"/>
    <col min="31" max="31" style="485" width="14.147857142857141" customWidth="1" bestFit="1" hidden="1"/>
    <col min="32" max="32" style="485" width="14.147857142857141" customWidth="1" bestFit="1" hidden="1"/>
    <col min="33" max="33" style="486" width="14.147857142857141" customWidth="1" bestFit="1" hidden="1"/>
    <col min="34" max="34" style="17" width="14.147857142857141" customWidth="1" bestFit="1" hidden="1"/>
    <col min="35" max="35" style="484" width="14.147857142857141" customWidth="1" bestFit="1" hidden="1"/>
    <col min="36" max="36" style="484" width="15.576428571428572" customWidth="1" bestFit="1"/>
    <col min="37" max="37" style="17" width="8.862142857142858" customWidth="1" bestFit="1"/>
    <col min="38" max="38" style="17" width="14.147857142857141" customWidth="1" bestFit="1"/>
    <col min="39" max="39" style="17" width="14.147857142857141" customWidth="1" bestFit="1"/>
    <col min="40" max="40" style="17" width="14.147857142857141" customWidth="1" bestFit="1"/>
    <col min="41" max="41" style="17" width="14.147857142857141" customWidth="1" bestFit="1"/>
    <col min="42" max="42" style="17" width="14.147857142857141" customWidth="1" bestFit="1"/>
    <col min="43" max="43" style="17" width="14.147857142857141" customWidth="1" bestFit="1"/>
    <col min="44" max="44" style="17" width="14.147857142857141" customWidth="1" bestFit="1"/>
  </cols>
  <sheetData>
    <row x14ac:dyDescent="0.25" r="1" customHeight="1" ht="19.5" hidden="1">
      <c r="A1" s="3"/>
      <c r="B1" s="195" t="s">
        <v>510</v>
      </c>
      <c r="C1" s="3"/>
      <c r="D1" s="3"/>
      <c r="E1" s="437">
        <v>2020</v>
      </c>
      <c r="F1" s="437">
        <v>2021</v>
      </c>
      <c r="G1" s="120">
        <v>2021</v>
      </c>
      <c r="H1" s="3"/>
      <c r="I1" s="120">
        <v>2021</v>
      </c>
      <c r="J1" s="120">
        <v>2021</v>
      </c>
      <c r="K1" s="120">
        <v>2021</v>
      </c>
      <c r="L1" s="120">
        <v>2021</v>
      </c>
      <c r="M1" s="120">
        <v>2021</v>
      </c>
      <c r="N1" s="120">
        <v>2021</v>
      </c>
      <c r="O1" s="120">
        <v>2021</v>
      </c>
      <c r="P1" s="120">
        <v>2021</v>
      </c>
      <c r="Q1" s="120">
        <v>2021</v>
      </c>
      <c r="R1" s="120">
        <v>2021</v>
      </c>
      <c r="S1" s="120">
        <v>2021</v>
      </c>
      <c r="T1" s="120">
        <v>2021</v>
      </c>
      <c r="U1" s="3"/>
      <c r="V1" s="120">
        <v>2021</v>
      </c>
      <c r="W1" s="120">
        <v>2021</v>
      </c>
      <c r="X1" s="120">
        <v>2021</v>
      </c>
      <c r="Y1" s="120">
        <v>2021</v>
      </c>
      <c r="Z1" s="120">
        <v>2021</v>
      </c>
      <c r="AA1" s="120">
        <v>2021</v>
      </c>
      <c r="AB1" s="120">
        <v>2021</v>
      </c>
      <c r="AC1" s="120">
        <v>2021</v>
      </c>
      <c r="AD1" s="66"/>
      <c r="AE1" s="120">
        <v>2021</v>
      </c>
      <c r="AF1" s="120">
        <v>2021</v>
      </c>
      <c r="AG1" s="120">
        <v>2021</v>
      </c>
      <c r="AH1" s="3"/>
      <c r="AI1" s="166">
        <v>2020</v>
      </c>
      <c r="AJ1" s="120">
        <v>2021</v>
      </c>
      <c r="AK1" s="3"/>
      <c r="AL1" s="3"/>
      <c r="AM1" s="3"/>
      <c r="AN1" s="3"/>
      <c r="AO1" s="3"/>
      <c r="AP1" s="3"/>
      <c r="AQ1" s="3"/>
      <c r="AR1" s="3"/>
    </row>
    <row x14ac:dyDescent="0.25" r="2" customHeight="1" ht="19.5" hidden="1">
      <c r="A2" s="3"/>
      <c r="B2" s="195" t="s">
        <v>511</v>
      </c>
      <c r="C2" s="3"/>
      <c r="D2" s="3"/>
      <c r="E2" s="437" t="s">
        <v>30</v>
      </c>
      <c r="F2" s="437">
        <f>MONTH(TODAY())-1&amp;" YTD"</f>
      </c>
      <c r="G2" s="437" t="s">
        <v>30</v>
      </c>
      <c r="H2" s="3"/>
      <c r="I2" s="120">
        <v>1</v>
      </c>
      <c r="J2" s="120">
        <v>2</v>
      </c>
      <c r="K2" s="120">
        <v>3</v>
      </c>
      <c r="L2" s="120">
        <v>4</v>
      </c>
      <c r="M2" s="120">
        <v>5</v>
      </c>
      <c r="N2" s="120">
        <v>6</v>
      </c>
      <c r="O2" s="120">
        <v>7</v>
      </c>
      <c r="P2" s="120">
        <v>8</v>
      </c>
      <c r="Q2" s="120">
        <v>9</v>
      </c>
      <c r="R2" s="120">
        <v>10</v>
      </c>
      <c r="S2" s="120">
        <v>11</v>
      </c>
      <c r="T2" s="120">
        <v>12</v>
      </c>
      <c r="U2" s="3"/>
      <c r="V2" s="120">
        <v>5</v>
      </c>
      <c r="W2" s="120">
        <v>6</v>
      </c>
      <c r="X2" s="120">
        <v>7</v>
      </c>
      <c r="Y2" s="120">
        <v>8</v>
      </c>
      <c r="Z2" s="120">
        <v>9</v>
      </c>
      <c r="AA2" s="120">
        <v>10</v>
      </c>
      <c r="AB2" s="120">
        <v>11</v>
      </c>
      <c r="AC2" s="120">
        <v>12</v>
      </c>
      <c r="AD2" s="66"/>
      <c r="AE2" s="438">
        <f>MONTH(TODAY())-1&amp;" YTD"</f>
      </c>
      <c r="AF2" s="438">
        <f>MONTH(TODAY())-1&amp;" YTD"</f>
      </c>
      <c r="AG2" s="438">
        <f>MONTH(TODAY())-1&amp;" YTD"</f>
      </c>
      <c r="AH2" s="3"/>
      <c r="AI2" s="439" t="s">
        <v>30</v>
      </c>
      <c r="AJ2" s="439" t="s">
        <v>30</v>
      </c>
      <c r="AK2" s="3"/>
      <c r="AL2" s="3"/>
      <c r="AM2" s="3"/>
      <c r="AN2" s="3"/>
      <c r="AO2" s="3"/>
      <c r="AP2" s="3"/>
      <c r="AQ2" s="3"/>
      <c r="AR2" s="3"/>
    </row>
    <row x14ac:dyDescent="0.25" r="3" customHeight="1" ht="19.5" hidden="1">
      <c r="A3" s="3"/>
      <c r="B3" s="195" t="s">
        <v>512</v>
      </c>
      <c r="C3" s="3"/>
      <c r="D3" s="3"/>
      <c r="E3" s="437">
        <v>12</v>
      </c>
      <c r="F3" s="437">
        <f>LEFT(F$2,2)*1</f>
      </c>
      <c r="G3" s="437">
        <v>12</v>
      </c>
      <c r="H3" s="3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3"/>
      <c r="V3" s="120"/>
      <c r="W3" s="120"/>
      <c r="X3" s="120"/>
      <c r="Y3" s="120"/>
      <c r="Z3" s="120"/>
      <c r="AA3" s="120"/>
      <c r="AB3" s="120"/>
      <c r="AC3" s="120"/>
      <c r="AD3" s="66"/>
      <c r="AE3" s="120"/>
      <c r="AF3" s="120"/>
      <c r="AG3" s="440"/>
      <c r="AH3" s="3"/>
      <c r="AI3" s="441"/>
      <c r="AJ3" s="120"/>
      <c r="AK3" s="3"/>
      <c r="AL3" s="3"/>
      <c r="AM3" s="3"/>
      <c r="AN3" s="3"/>
      <c r="AO3" s="3"/>
      <c r="AP3" s="3"/>
      <c r="AQ3" s="3"/>
      <c r="AR3" s="3"/>
    </row>
    <row x14ac:dyDescent="0.25" r="4" customHeight="1" ht="19.5" hidden="1">
      <c r="A4" s="3"/>
      <c r="B4" s="442"/>
      <c r="C4" s="3"/>
      <c r="D4" s="3"/>
      <c r="E4" s="8"/>
      <c r="F4" s="8"/>
      <c r="G4" s="8"/>
      <c r="H4" s="3"/>
      <c r="I4" s="441"/>
      <c r="J4" s="441"/>
      <c r="K4" s="441"/>
      <c r="L4" s="441"/>
      <c r="M4" s="443"/>
      <c r="N4" s="443"/>
      <c r="O4" s="443"/>
      <c r="P4" s="443"/>
      <c r="Q4" s="443"/>
      <c r="R4" s="443"/>
      <c r="S4" s="443"/>
      <c r="T4" s="443"/>
      <c r="U4" s="3"/>
      <c r="V4" s="441"/>
      <c r="W4" s="441"/>
      <c r="X4" s="441"/>
      <c r="Y4" s="441"/>
      <c r="Z4" s="441"/>
      <c r="AA4" s="441"/>
      <c r="AB4" s="443"/>
      <c r="AC4" s="443"/>
      <c r="AD4" s="443"/>
      <c r="AE4" s="443"/>
      <c r="AF4" s="443"/>
      <c r="AG4" s="440"/>
      <c r="AH4" s="3"/>
      <c r="AI4" s="441"/>
      <c r="AJ4" s="441"/>
      <c r="AK4" s="3"/>
      <c r="AL4" s="3"/>
      <c r="AM4" s="3"/>
      <c r="AN4" s="3"/>
      <c r="AO4" s="3"/>
      <c r="AP4" s="3"/>
      <c r="AQ4" s="3"/>
      <c r="AR4" s="3"/>
    </row>
    <row x14ac:dyDescent="0.25" r="5" customHeight="1" ht="19.5" hidden="1">
      <c r="A5" s="3"/>
      <c r="B5" s="444">
        <f>YEAR(TODAY())</f>
        <v>25569.041666666668</v>
      </c>
      <c r="C5" s="444">
        <f>MONTH(TODAY())</f>
        <v>25569.041666666668</v>
      </c>
      <c r="D5" s="3"/>
      <c r="E5" s="8"/>
      <c r="F5" s="8"/>
      <c r="G5" s="8"/>
      <c r="H5" s="3"/>
      <c r="I5" s="441"/>
      <c r="J5" s="441"/>
      <c r="K5" s="441"/>
      <c r="L5" s="441"/>
      <c r="M5" s="443"/>
      <c r="N5" s="443"/>
      <c r="O5" s="443"/>
      <c r="P5" s="443"/>
      <c r="Q5" s="443"/>
      <c r="R5" s="443"/>
      <c r="S5" s="443"/>
      <c r="T5" s="443"/>
      <c r="U5" s="3"/>
      <c r="V5" s="441"/>
      <c r="W5" s="441"/>
      <c r="X5" s="441"/>
      <c r="Y5" s="441"/>
      <c r="Z5" s="441"/>
      <c r="AA5" s="441"/>
      <c r="AB5" s="443"/>
      <c r="AC5" s="443"/>
      <c r="AD5" s="443"/>
      <c r="AE5" s="443"/>
      <c r="AF5" s="443"/>
      <c r="AG5" s="440"/>
      <c r="AH5" s="3"/>
      <c r="AI5" s="441"/>
      <c r="AJ5" s="441"/>
      <c r="AK5" s="3"/>
      <c r="AL5" s="3"/>
      <c r="AM5" s="3"/>
      <c r="AN5" s="3"/>
      <c r="AO5" s="3"/>
      <c r="AP5" s="3"/>
      <c r="AQ5" s="3"/>
      <c r="AR5" s="3"/>
    </row>
    <row x14ac:dyDescent="0.25" r="6" customHeight="1" ht="19.5">
      <c r="A6" s="3"/>
      <c r="B6" s="30"/>
      <c r="C6" s="30"/>
      <c r="D6" s="3"/>
      <c r="E6" s="445" t="s">
        <v>513</v>
      </c>
      <c r="F6" s="446" t="s">
        <v>514</v>
      </c>
      <c r="G6" s="447" t="s">
        <v>514</v>
      </c>
      <c r="H6" s="3"/>
      <c r="I6" s="448">
        <f>TEXT(I$2,"00")&amp;" "&amp;I$1</f>
      </c>
      <c r="J6" s="448">
        <f>TEXT(J$2,"00")&amp;" "&amp;J$1</f>
      </c>
      <c r="K6" s="448">
        <f>TEXT(K$2,"00")&amp;" "&amp;K$1</f>
      </c>
      <c r="L6" s="448">
        <f>TEXT(L$2,"00")&amp;" "&amp;L$1</f>
      </c>
      <c r="M6" s="448">
        <f>TEXT(M$2,"00")&amp;" "&amp;M$1</f>
      </c>
      <c r="N6" s="449" t="s">
        <v>515</v>
      </c>
      <c r="O6" s="449" t="s">
        <v>516</v>
      </c>
      <c r="P6" s="449" t="s">
        <v>517</v>
      </c>
      <c r="Q6" s="449" t="s">
        <v>518</v>
      </c>
      <c r="R6" s="449" t="s">
        <v>519</v>
      </c>
      <c r="S6" s="449" t="s">
        <v>520</v>
      </c>
      <c r="T6" s="449" t="s">
        <v>521</v>
      </c>
      <c r="U6" s="3"/>
      <c r="V6" s="450" t="s">
        <v>522</v>
      </c>
      <c r="W6" s="450" t="s">
        <v>523</v>
      </c>
      <c r="X6" s="450" t="s">
        <v>524</v>
      </c>
      <c r="Y6" s="450" t="s">
        <v>525</v>
      </c>
      <c r="Z6" s="450" t="s">
        <v>526</v>
      </c>
      <c r="AA6" s="451" t="s">
        <v>519</v>
      </c>
      <c r="AB6" s="452" t="s">
        <v>520</v>
      </c>
      <c r="AC6" s="452" t="s">
        <v>521</v>
      </c>
      <c r="AD6" s="453"/>
      <c r="AE6" s="448">
        <f>AE$2&amp;" "&amp;AE$1</f>
      </c>
      <c r="AF6" s="454">
        <f>AF$2&amp;" "&amp;AF$1</f>
      </c>
      <c r="AG6" s="455">
        <f>AG$2&amp;" "&amp;AG$1</f>
      </c>
      <c r="AH6" s="3"/>
      <c r="AI6" s="456">
        <f>AI$2&amp;" "&amp;AI$1</f>
      </c>
      <c r="AJ6" s="454">
        <f>AJ$2&amp;" "&amp;AJ$1</f>
      </c>
      <c r="AK6" s="3"/>
      <c r="AL6" s="3"/>
      <c r="AM6" s="3"/>
      <c r="AN6" s="3"/>
      <c r="AO6" s="3"/>
      <c r="AP6" s="3"/>
      <c r="AQ6" s="3"/>
      <c r="AR6" s="3"/>
    </row>
    <row x14ac:dyDescent="0.25" r="7" customHeight="1" ht="19.5">
      <c r="A7" s="3"/>
      <c r="B7" s="442"/>
      <c r="C7" s="30" t="s">
        <v>527</v>
      </c>
      <c r="D7" s="3"/>
      <c r="E7" s="445" t="s">
        <v>40</v>
      </c>
      <c r="F7" s="446" t="s">
        <v>40</v>
      </c>
      <c r="G7" s="447" t="s">
        <v>441</v>
      </c>
      <c r="H7" s="3"/>
      <c r="I7" s="450" t="s">
        <v>40</v>
      </c>
      <c r="J7" s="450" t="s">
        <v>40</v>
      </c>
      <c r="K7" s="450" t="s">
        <v>40</v>
      </c>
      <c r="L7" s="450" t="s">
        <v>40</v>
      </c>
      <c r="M7" s="448" t="s">
        <v>40</v>
      </c>
      <c r="N7" s="449" t="s">
        <v>40</v>
      </c>
      <c r="O7" s="449" t="s">
        <v>40</v>
      </c>
      <c r="P7" s="449" t="s">
        <v>40</v>
      </c>
      <c r="Q7" s="449" t="s">
        <v>40</v>
      </c>
      <c r="R7" s="449" t="s">
        <v>40</v>
      </c>
      <c r="S7" s="449" t="s">
        <v>40</v>
      </c>
      <c r="T7" s="449" t="s">
        <v>40</v>
      </c>
      <c r="U7" s="3"/>
      <c r="V7" s="450" t="s">
        <v>40</v>
      </c>
      <c r="W7" s="450" t="s">
        <v>40</v>
      </c>
      <c r="X7" s="450" t="s">
        <v>40</v>
      </c>
      <c r="Y7" s="450" t="s">
        <v>40</v>
      </c>
      <c r="Z7" s="450" t="s">
        <v>40</v>
      </c>
      <c r="AA7" s="451" t="s">
        <v>528</v>
      </c>
      <c r="AB7" s="452" t="s">
        <v>528</v>
      </c>
      <c r="AC7" s="452" t="s">
        <v>528</v>
      </c>
      <c r="AD7" s="453"/>
      <c r="AE7" s="448" t="s">
        <v>529</v>
      </c>
      <c r="AF7" s="454" t="s">
        <v>530</v>
      </c>
      <c r="AG7" s="455" t="s">
        <v>531</v>
      </c>
      <c r="AH7" s="3"/>
      <c r="AI7" s="457" t="s">
        <v>529</v>
      </c>
      <c r="AJ7" s="458" t="s">
        <v>530</v>
      </c>
      <c r="AK7" s="3"/>
      <c r="AL7" s="3"/>
      <c r="AM7" s="3"/>
      <c r="AN7" s="3"/>
      <c r="AO7" s="3"/>
      <c r="AP7" s="3"/>
      <c r="AQ7" s="3"/>
      <c r="AR7" s="3"/>
    </row>
    <row x14ac:dyDescent="0.25" r="8" customHeight="1" ht="19.5">
      <c r="A8" s="3"/>
      <c r="B8" s="459" t="s">
        <v>532</v>
      </c>
      <c r="C8" s="66"/>
      <c r="D8" s="3"/>
      <c r="E8" s="460"/>
      <c r="F8" s="460"/>
      <c r="G8" s="461"/>
      <c r="H8" s="3"/>
      <c r="I8" s="461"/>
      <c r="J8" s="461"/>
      <c r="K8" s="461"/>
      <c r="L8" s="461"/>
      <c r="M8" s="461"/>
      <c r="N8" s="460"/>
      <c r="O8" s="460"/>
      <c r="P8" s="460"/>
      <c r="Q8" s="460"/>
      <c r="R8" s="460"/>
      <c r="S8" s="460"/>
      <c r="T8" s="460"/>
      <c r="U8" s="3"/>
      <c r="V8" s="460"/>
      <c r="W8" s="460"/>
      <c r="X8" s="460"/>
      <c r="Y8" s="460"/>
      <c r="Z8" s="460"/>
      <c r="AA8" s="460"/>
      <c r="AB8" s="460"/>
      <c r="AC8" s="462"/>
      <c r="AD8" s="462"/>
      <c r="AE8" s="463"/>
      <c r="AF8" s="464"/>
      <c r="AG8" s="440"/>
      <c r="AH8" s="3"/>
      <c r="AI8" s="463"/>
      <c r="AJ8" s="465"/>
      <c r="AK8" s="3"/>
      <c r="AL8" s="3"/>
      <c r="AM8" s="3"/>
      <c r="AN8" s="3"/>
      <c r="AO8" s="3"/>
      <c r="AP8" s="3"/>
      <c r="AQ8" s="3"/>
      <c r="AR8" s="3"/>
    </row>
    <row x14ac:dyDescent="0.25" r="9" customHeight="1" ht="19.5">
      <c r="A9" s="3" t="s">
        <v>533</v>
      </c>
      <c r="B9" s="33" t="s">
        <v>534</v>
      </c>
      <c r="C9" s="195" t="s">
        <v>535</v>
      </c>
      <c r="D9" s="3"/>
      <c r="E9" s="466">
        <f>$AI9/E$3</f>
      </c>
      <c r="F9" s="466">
        <f>IFERROR(1/F$3,1)*SUMIFS(Data!$S$3:$S$137,Data!$O$3:$O$137,F$1,Data!$P$3:$P$137,IF(RIGHT(F$2,3)="YTD","&lt;="&amp;LEFT(F$2,2)*1,F$2),Data!$K$3:$K$137,$B9)</f>
      </c>
      <c r="G9" s="466">
        <f>AJ9/12</f>
      </c>
      <c r="H9" s="3"/>
      <c r="I9" s="466">
        <f>'Reporting 2021'!I15</f>
      </c>
      <c r="J9" s="466">
        <f>'Reporting 2021'!J15</f>
      </c>
      <c r="K9" s="466">
        <f>'Reporting 2021'!K15</f>
      </c>
      <c r="L9" s="466">
        <f>'Reporting 2021'!L15</f>
      </c>
      <c r="M9" s="466">
        <f>IFERROR(1/M$3,1)*SUMIFS(Data!$S$3:$S$137,Data!$O$3:$O$137,M$1,Data!$P$3:$P$137,IF(RIGHT(M$2,3)="YTD","&lt;="&amp;LEFT(M$2,2)*1,M$2),Data!$K$3:$K$137,$B9)</f>
      </c>
      <c r="N9" s="466">
        <f>SUMIFS(Data!$S$3:$S$137,Data!$O$3:$O$137,N$1,Data!$P$3:$P$137,N$2,Data!$K$3:$K$137,$B9)</f>
      </c>
      <c r="O9" s="466">
        <f>SUMIFS(Data!$S$3:$S$137,Data!$O$3:$O$137,O$1,Data!$P$3:$P$137,O$2,Data!$K$3:$K$137,$B9)</f>
      </c>
      <c r="P9" s="466">
        <f>SUMIFS(Data!$S$3:$S$137,Data!$O$3:$O$137,P$1,Data!$P$3:$P$137,P$2,Data!$K$3:$K$137,$B9)</f>
      </c>
      <c r="Q9" s="466">
        <f>SUMIFS(Data!$S$3:$S$137,Data!$O$3:$O$137,Q$1,Data!$P$3:$P$137,Q$2,Data!$K$3:$K$137,$B9)</f>
      </c>
      <c r="R9" s="466">
        <f>SUMIFS(Data!$S$3:$S$137,Data!$O$3:$O$137,R$1,Data!$P$3:$P$137,R$2,Data!$K$3:$K$137,$B9)</f>
      </c>
      <c r="S9" s="466">
        <f>SUMIFS(Data!$S$3:$S$137,Data!$O$3:$O$137,S$1,Data!$P$3:$P$137,S$2,Data!$K$3:$K$137,$B9)</f>
      </c>
      <c r="T9" s="466">
        <f>SUMIFS(Data!$S$3:$S$137,Data!$O$3:$O$137,T$1,Data!$P$3:$P$137,T$2,Data!$K$3:$K$137,$B9)</f>
      </c>
      <c r="U9" s="3"/>
      <c r="V9" s="466">
        <f>'Reporting 2021'!M15</f>
      </c>
      <c r="W9" s="466">
        <f>'Reporting 2021'!N15</f>
      </c>
      <c r="X9" s="466">
        <v>0</v>
      </c>
      <c r="Y9" s="466">
        <v>0</v>
      </c>
      <c r="Z9" s="466">
        <v>0</v>
      </c>
      <c r="AA9" s="466">
        <v>30833.33333333333</v>
      </c>
      <c r="AB9" s="466">
        <f>$G9</f>
      </c>
      <c r="AC9" s="466">
        <f>$G9</f>
      </c>
      <c r="AD9" s="466"/>
      <c r="AE9" s="466">
        <f>IFERROR(1/AE$3,1)*SUMIFS(Data!$S$3:$S$137,Data!$O$3:$O$137,AE$1,Data!$P$3:$P$137,IF(RIGHT(AE$2,3)="YTD","&lt;="&amp;LEFT(AE$2,2)*1,AE$2),Data!$K$3:$K$137,$B9)</f>
      </c>
      <c r="AF9" s="466">
        <f>AJ9/12*LEFT(AF$2,2)*1</f>
      </c>
      <c r="AG9" s="467">
        <f>AE9-AF9</f>
      </c>
      <c r="AH9" s="3"/>
      <c r="AI9" s="466">
        <v>5075</v>
      </c>
      <c r="AJ9" s="466">
        <v>370000</v>
      </c>
      <c r="AK9" s="3"/>
      <c r="AL9" s="3"/>
      <c r="AM9" s="3"/>
      <c r="AN9" s="3"/>
      <c r="AO9" s="3"/>
      <c r="AP9" s="3"/>
      <c r="AQ9" s="3"/>
      <c r="AR9" s="3"/>
    </row>
    <row x14ac:dyDescent="0.25" r="10" customHeight="1" ht="19.5">
      <c r="A10" s="3" t="s">
        <v>536</v>
      </c>
      <c r="B10" s="33" t="s">
        <v>537</v>
      </c>
      <c r="C10" s="195" t="s">
        <v>535</v>
      </c>
      <c r="D10" s="3"/>
      <c r="E10" s="466">
        <f>$AI10/E$3</f>
      </c>
      <c r="F10" s="466">
        <f>IFERROR(1/F$3,1)*SUMIFS(Data!$S$3:$S$137,Data!$O$3:$O$137,F$1,Data!$P$3:$P$137,IF(RIGHT(F$2,3)="YTD","&lt;="&amp;LEFT(F$2,2)*1,F$2),Data!$K$3:$K$137,$B10)</f>
      </c>
      <c r="G10" s="466">
        <f>AJ10/12</f>
      </c>
      <c r="H10" s="3"/>
      <c r="I10" s="466">
        <f>'Reporting 2021'!I16</f>
      </c>
      <c r="J10" s="466">
        <f>'Reporting 2021'!J16</f>
      </c>
      <c r="K10" s="466">
        <f>'Reporting 2021'!K16</f>
      </c>
      <c r="L10" s="466">
        <f>'Reporting 2021'!L16</f>
      </c>
      <c r="M10" s="466">
        <f>IFERROR(1/M$3,1)*SUMIFS(Data!$S$3:$S$137,Data!$O$3:$O$137,M$1,Data!$P$3:$P$137,IF(RIGHT(M$2,3)="YTD","&lt;="&amp;LEFT(M$2,2)*1,M$2),Data!$K$3:$K$137,$B10)</f>
      </c>
      <c r="N10" s="466">
        <f>SUMIFS(Data!$S$3:$S$137,Data!$O$3:$O$137,N$1,Data!$P$3:$P$137,N$2,Data!$K$3:$K$137,$B10)</f>
      </c>
      <c r="O10" s="466">
        <f>SUMIFS(Data!$S$3:$S$137,Data!$O$3:$O$137,O$1,Data!$P$3:$P$137,O$2,Data!$K$3:$K$137,$B10)</f>
      </c>
      <c r="P10" s="466">
        <f>SUMIFS(Data!$S$3:$S$137,Data!$O$3:$O$137,P$1,Data!$P$3:$P$137,P$2,Data!$K$3:$K$137,$B10)</f>
      </c>
      <c r="Q10" s="466">
        <f>SUMIFS(Data!$S$3:$S$137,Data!$O$3:$O$137,Q$1,Data!$P$3:$P$137,Q$2,Data!$K$3:$K$137,$B10)</f>
      </c>
      <c r="R10" s="466">
        <f>SUMIFS(Data!$S$3:$S$137,Data!$O$3:$O$137,R$1,Data!$P$3:$P$137,R$2,Data!$K$3:$K$137,$B10)</f>
      </c>
      <c r="S10" s="466">
        <f>SUMIFS(Data!$S$3:$S$137,Data!$O$3:$O$137,S$1,Data!$P$3:$P$137,S$2,Data!$K$3:$K$137,$B10)</f>
      </c>
      <c r="T10" s="466">
        <f>SUMIFS(Data!$S$3:$S$137,Data!$O$3:$O$137,T$1,Data!$P$3:$P$137,T$2,Data!$K$3:$K$137,$B10)</f>
      </c>
      <c r="U10" s="3"/>
      <c r="V10" s="466">
        <f>'Reporting 2021'!M16</f>
      </c>
      <c r="W10" s="466">
        <f>'Reporting 2021'!N16</f>
      </c>
      <c r="X10" s="466">
        <v>0</v>
      </c>
      <c r="Y10" s="466">
        <v>0</v>
      </c>
      <c r="Z10" s="466">
        <v>0</v>
      </c>
      <c r="AA10" s="466">
        <v>0</v>
      </c>
      <c r="AB10" s="466">
        <f>$G10</f>
      </c>
      <c r="AC10" s="466">
        <f>$G10</f>
      </c>
      <c r="AD10" s="466"/>
      <c r="AE10" s="466">
        <f>IFERROR(1/AE$3,1)*SUMIFS(Data!$S$3:$S$137,Data!$O$3:$O$137,AE$1,Data!$P$3:$P$137,IF(RIGHT(AE$2,3)="YTD","&lt;="&amp;LEFT(AE$2,2)*1,AE$2),Data!$K$3:$K$137,$B10)</f>
      </c>
      <c r="AF10" s="466">
        <f>AJ10/12*LEFT(AF$2,2)*1</f>
      </c>
      <c r="AG10" s="467">
        <f>AE10-AF10</f>
      </c>
      <c r="AH10" s="3"/>
      <c r="AI10" s="466">
        <v>11490</v>
      </c>
      <c r="AJ10" s="466">
        <v>0</v>
      </c>
      <c r="AK10" s="3"/>
      <c r="AL10" s="3"/>
      <c r="AM10" s="3"/>
      <c r="AN10" s="3"/>
      <c r="AO10" s="3"/>
      <c r="AP10" s="3"/>
      <c r="AQ10" s="3"/>
      <c r="AR10" s="3"/>
    </row>
    <row x14ac:dyDescent="0.25" r="11" customHeight="1" ht="19.5">
      <c r="A11" s="3"/>
      <c r="B11" s="33" t="s">
        <v>538</v>
      </c>
      <c r="C11" s="195" t="s">
        <v>535</v>
      </c>
      <c r="D11" s="3"/>
      <c r="E11" s="466">
        <f>$AI11/E$3</f>
      </c>
      <c r="F11" s="466">
        <f>IFERROR(1/F$3,1)*SUMIFS(Data!$S$3:$S$137,Data!$O$3:$O$137,F$1,Data!$P$3:$P$137,IF(RIGHT(F$2,3)="YTD","&lt;="&amp;LEFT(F$2,2)*1,F$2),Data!$K$3:$K$137,$B11)</f>
      </c>
      <c r="G11" s="466">
        <f>AJ11/12</f>
      </c>
      <c r="H11" s="3"/>
      <c r="I11" s="466">
        <f>'Reporting 2021'!I17</f>
      </c>
      <c r="J11" s="466">
        <f>'Reporting 2021'!J17</f>
      </c>
      <c r="K11" s="466">
        <f>'Reporting 2021'!K17</f>
      </c>
      <c r="L11" s="466">
        <f>'Reporting 2021'!L17</f>
      </c>
      <c r="M11" s="466">
        <f>IFERROR(1/M$3,1)*SUMIFS(Data!$S$3:$S$137,Data!$O$3:$O$137,M$1,Data!$P$3:$P$137,IF(RIGHT(M$2,3)="YTD","&lt;="&amp;LEFT(M$2,2)*1,M$2),Data!$K$3:$K$137,$B11)</f>
      </c>
      <c r="N11" s="466">
        <f>SUMIFS(Data!$S$3:$S$137,Data!$O$3:$O$137,N$1,Data!$P$3:$P$137,N$2,Data!$K$3:$K$137,$B11)</f>
      </c>
      <c r="O11" s="466">
        <f>SUMIFS(Data!$S$3:$S$137,Data!$O$3:$O$137,O$1,Data!$P$3:$P$137,O$2,Data!$K$3:$K$137,$B11)</f>
      </c>
      <c r="P11" s="466">
        <f>SUMIFS(Data!$S$3:$S$137,Data!$O$3:$O$137,P$1,Data!$P$3:$P$137,P$2,Data!$K$3:$K$137,$B11)</f>
      </c>
      <c r="Q11" s="466">
        <f>SUMIFS(Data!$S$3:$S$137,Data!$O$3:$O$137,Q$1,Data!$P$3:$P$137,Q$2,Data!$K$3:$K$137,$B11)</f>
      </c>
      <c r="R11" s="466">
        <f>SUMIFS(Data!$S$3:$S$137,Data!$O$3:$O$137,R$1,Data!$P$3:$P$137,R$2,Data!$K$3:$K$137,$B11)</f>
      </c>
      <c r="S11" s="466">
        <f>SUMIFS(Data!$S$3:$S$137,Data!$O$3:$O$137,S$1,Data!$P$3:$P$137,S$2,Data!$K$3:$K$137,$B11)</f>
      </c>
      <c r="T11" s="466">
        <f>SUMIFS(Data!$S$3:$S$137,Data!$O$3:$O$137,T$1,Data!$P$3:$P$137,T$2,Data!$K$3:$K$137,$B11)</f>
      </c>
      <c r="U11" s="3"/>
      <c r="V11" s="466">
        <f>'Reporting 2021'!M17</f>
      </c>
      <c r="W11" s="466">
        <f>'Reporting 2021'!N17</f>
      </c>
      <c r="X11" s="466">
        <v>0</v>
      </c>
      <c r="Y11" s="466">
        <v>0</v>
      </c>
      <c r="Z11" s="466">
        <v>0</v>
      </c>
      <c r="AA11" s="466">
        <v>0</v>
      </c>
      <c r="AB11" s="466">
        <f>$G11</f>
      </c>
      <c r="AC11" s="466">
        <f>$G11</f>
      </c>
      <c r="AD11" s="466"/>
      <c r="AE11" s="466">
        <f>IFERROR(1/AE$3,1)*SUMIFS(Data!$S$3:$S$137,Data!$O$3:$O$137,AE$1,Data!$P$3:$P$137,IF(RIGHT(AE$2,3)="YTD","&lt;="&amp;LEFT(AE$2,2)*1,AE$2),Data!$K$3:$K$137,$B11)</f>
      </c>
      <c r="AF11" s="466">
        <f>AJ11/12*LEFT(AF$2,2)*1</f>
      </c>
      <c r="AG11" s="467">
        <f>AE11-AF11</f>
      </c>
      <c r="AH11" s="3"/>
      <c r="AI11" s="466">
        <v>534520</v>
      </c>
      <c r="AJ11" s="466">
        <v>0</v>
      </c>
      <c r="AK11" s="3"/>
      <c r="AL11" s="3"/>
      <c r="AM11" s="3"/>
      <c r="AN11" s="3"/>
      <c r="AO11" s="3"/>
      <c r="AP11" s="3"/>
      <c r="AQ11" s="3"/>
      <c r="AR11" s="3"/>
    </row>
    <row x14ac:dyDescent="0.25" r="12" customHeight="1" ht="19.5">
      <c r="A12" s="3" t="s">
        <v>539</v>
      </c>
      <c r="B12" s="33" t="s">
        <v>540</v>
      </c>
      <c r="C12" s="195" t="s">
        <v>535</v>
      </c>
      <c r="D12" s="3"/>
      <c r="E12" s="466">
        <f>$AI12/E$3</f>
      </c>
      <c r="F12" s="466">
        <f>IFERROR(1/F$3,1)*SUMIFS(Data!$S$3:$S$137,Data!$O$3:$O$137,F$1,Data!$P$3:$P$137,IF(RIGHT(F$2,3)="YTD","&lt;="&amp;LEFT(F$2,2)*1,F$2),Data!$K$3:$K$137,$B12)</f>
      </c>
      <c r="G12" s="466">
        <f>AJ12/12</f>
      </c>
      <c r="H12" s="3"/>
      <c r="I12" s="466">
        <f>'Reporting 2021'!I18</f>
      </c>
      <c r="J12" s="466">
        <f>'Reporting 2021'!J18</f>
      </c>
      <c r="K12" s="466">
        <f>'Reporting 2021'!K18</f>
      </c>
      <c r="L12" s="466">
        <f>'Reporting 2021'!L18</f>
      </c>
      <c r="M12" s="466">
        <f>IFERROR(1/M$3,1)*SUMIFS(Data!$S$3:$S$137,Data!$O$3:$O$137,M$1,Data!$P$3:$P$137,IF(RIGHT(M$2,3)="YTD","&lt;="&amp;LEFT(M$2,2)*1,M$2),Data!$K$3:$K$137,$B12)</f>
      </c>
      <c r="N12" s="466">
        <f>SUMIFS(Data!$S$3:$S$137,Data!$O$3:$O$137,N$1,Data!$P$3:$P$137,N$2,Data!$K$3:$K$137,$B12)</f>
      </c>
      <c r="O12" s="466">
        <f>SUMIFS(Data!$S$3:$S$137,Data!$O$3:$O$137,O$1,Data!$P$3:$P$137,O$2,Data!$K$3:$K$137,$B12)</f>
      </c>
      <c r="P12" s="466">
        <f>SUMIFS(Data!$S$3:$S$137,Data!$O$3:$O$137,P$1,Data!$P$3:$P$137,P$2,Data!$K$3:$K$137,$B12)</f>
      </c>
      <c r="Q12" s="466">
        <f>SUMIFS(Data!$S$3:$S$137,Data!$O$3:$O$137,Q$1,Data!$P$3:$P$137,Q$2,Data!$K$3:$K$137,$B12)</f>
      </c>
      <c r="R12" s="466">
        <f>SUMIFS(Data!$S$3:$S$137,Data!$O$3:$O$137,R$1,Data!$P$3:$P$137,R$2,Data!$K$3:$K$137,$B12)</f>
      </c>
      <c r="S12" s="466">
        <f>SUMIFS(Data!$S$3:$S$137,Data!$O$3:$O$137,S$1,Data!$P$3:$P$137,S$2,Data!$K$3:$K$137,$B12)</f>
      </c>
      <c r="T12" s="466">
        <f>SUMIFS(Data!$S$3:$S$137,Data!$O$3:$O$137,T$1,Data!$P$3:$P$137,T$2,Data!$K$3:$K$137,$B12)</f>
      </c>
      <c r="U12" s="3"/>
      <c r="V12" s="466">
        <f>'Reporting 2021'!M18</f>
      </c>
      <c r="W12" s="466">
        <f>'Reporting 2021'!N18</f>
      </c>
      <c r="X12" s="466">
        <v>0</v>
      </c>
      <c r="Y12" s="466">
        <v>0</v>
      </c>
      <c r="Z12" s="466">
        <v>0</v>
      </c>
      <c r="AA12" s="466">
        <v>0</v>
      </c>
      <c r="AB12" s="466">
        <f>$G12</f>
      </c>
      <c r="AC12" s="466">
        <f>$G12</f>
      </c>
      <c r="AD12" s="466"/>
      <c r="AE12" s="466">
        <f>IFERROR(1/AE$3,1)*SUMIFS(Data!$S$3:$S$137,Data!$O$3:$O$137,AE$1,Data!$P$3:$P$137,IF(RIGHT(AE$2,3)="YTD","&lt;="&amp;LEFT(AE$2,2)*1,AE$2),Data!$K$3:$K$137,$B12)</f>
      </c>
      <c r="AF12" s="466">
        <f>AJ12/12*LEFT(AF$2,2)*1</f>
      </c>
      <c r="AG12" s="467">
        <f>AE12-AF12</f>
      </c>
      <c r="AH12" s="3"/>
      <c r="AI12" s="466">
        <v>13410</v>
      </c>
      <c r="AJ12" s="466">
        <v>0</v>
      </c>
      <c r="AK12" s="3"/>
      <c r="AL12" s="3"/>
      <c r="AM12" s="3"/>
      <c r="AN12" s="3"/>
      <c r="AO12" s="3"/>
      <c r="AP12" s="3"/>
      <c r="AQ12" s="3"/>
      <c r="AR12" s="3"/>
    </row>
    <row x14ac:dyDescent="0.25" r="13" customHeight="1" ht="19.5">
      <c r="A13" s="3" t="s">
        <v>541</v>
      </c>
      <c r="B13" s="33" t="s">
        <v>542</v>
      </c>
      <c r="C13" s="195" t="s">
        <v>535</v>
      </c>
      <c r="D13" s="3"/>
      <c r="E13" s="466">
        <f>$AI13/E$3</f>
      </c>
      <c r="F13" s="466">
        <f>IFERROR(1/F$3,1)*SUMIFS(Data!$S$3:$S$137,Data!$O$3:$O$137,F$1,Data!$P$3:$P$137,IF(RIGHT(F$2,3)="YTD","&lt;="&amp;LEFT(F$2,2)*1,F$2),Data!$K$3:$K$137,$B13)</f>
      </c>
      <c r="G13" s="466">
        <f>AJ13/12</f>
      </c>
      <c r="H13" s="3"/>
      <c r="I13" s="466">
        <f>'Reporting 2021'!I19</f>
      </c>
      <c r="J13" s="466">
        <f>'Reporting 2021'!J19</f>
      </c>
      <c r="K13" s="466">
        <f>'Reporting 2021'!K19</f>
      </c>
      <c r="L13" s="466">
        <f>'Reporting 2021'!L19</f>
      </c>
      <c r="M13" s="466">
        <f>IFERROR(1/M$3,1)*SUMIFS(Data!$S$3:$S$137,Data!$O$3:$O$137,M$1,Data!$P$3:$P$137,IF(RIGHT(M$2,3)="YTD","&lt;="&amp;LEFT(M$2,2)*1,M$2),Data!$K$3:$K$137,$B13)</f>
      </c>
      <c r="N13" s="466">
        <f>SUMIFS(Data!$S$3:$S$137,Data!$O$3:$O$137,N$1,Data!$P$3:$P$137,N$2,Data!$K$3:$K$137,$B13)</f>
      </c>
      <c r="O13" s="466">
        <f>SUMIFS(Data!$S$3:$S$137,Data!$O$3:$O$137,O$1,Data!$P$3:$P$137,O$2,Data!$K$3:$K$137,$B13)</f>
      </c>
      <c r="P13" s="466">
        <f>SUMIFS(Data!$S$3:$S$137,Data!$O$3:$O$137,P$1,Data!$P$3:$P$137,P$2,Data!$K$3:$K$137,$B13)</f>
      </c>
      <c r="Q13" s="466">
        <f>SUMIFS(Data!$S$3:$S$137,Data!$O$3:$O$137,Q$1,Data!$P$3:$P$137,Q$2,Data!$K$3:$K$137,$B13)</f>
      </c>
      <c r="R13" s="466">
        <f>SUMIFS(Data!$S$3:$S$137,Data!$O$3:$O$137,R$1,Data!$P$3:$P$137,R$2,Data!$K$3:$K$137,$B13)</f>
      </c>
      <c r="S13" s="466">
        <f>SUMIFS(Data!$S$3:$S$137,Data!$O$3:$O$137,S$1,Data!$P$3:$P$137,S$2,Data!$K$3:$K$137,$B13)</f>
      </c>
      <c r="T13" s="466">
        <f>SUMIFS(Data!$S$3:$S$137,Data!$O$3:$O$137,T$1,Data!$P$3:$P$137,T$2,Data!$K$3:$K$137,$B13)</f>
      </c>
      <c r="U13" s="3"/>
      <c r="V13" s="466">
        <f>'Reporting 2021'!M19</f>
      </c>
      <c r="W13" s="466">
        <f>'Reporting 2021'!N19</f>
      </c>
      <c r="X13" s="466">
        <v>0</v>
      </c>
      <c r="Y13" s="466">
        <v>0</v>
      </c>
      <c r="Z13" s="466">
        <v>0</v>
      </c>
      <c r="AA13" s="466">
        <v>0</v>
      </c>
      <c r="AB13" s="466">
        <f>$G13</f>
      </c>
      <c r="AC13" s="466">
        <f>$G13</f>
      </c>
      <c r="AD13" s="466"/>
      <c r="AE13" s="466">
        <f>IFERROR(1/AE$3,1)*SUMIFS(Data!$S$3:$S$137,Data!$O$3:$O$137,AE$1,Data!$P$3:$P$137,IF(RIGHT(AE$2,3)="YTD","&lt;="&amp;LEFT(AE$2,2)*1,AE$2),Data!$K$3:$K$137,$B13)</f>
      </c>
      <c r="AF13" s="466">
        <f>AJ13/12*LEFT(AF$2,2)*1</f>
      </c>
      <c r="AG13" s="467">
        <f>AE13-AF13</f>
      </c>
      <c r="AH13" s="3"/>
      <c r="AI13" s="466">
        <v>103515</v>
      </c>
      <c r="AJ13" s="466">
        <v>0</v>
      </c>
      <c r="AK13" s="3"/>
      <c r="AL13" s="3"/>
      <c r="AM13" s="3"/>
      <c r="AN13" s="3"/>
      <c r="AO13" s="3"/>
      <c r="AP13" s="3"/>
      <c r="AQ13" s="3"/>
      <c r="AR13" s="3"/>
    </row>
    <row x14ac:dyDescent="0.25" r="14" customHeight="1" ht="19.5">
      <c r="A14" s="3" t="s">
        <v>543</v>
      </c>
      <c r="B14" s="33" t="s">
        <v>544</v>
      </c>
      <c r="C14" s="195" t="s">
        <v>535</v>
      </c>
      <c r="D14" s="3"/>
      <c r="E14" s="466">
        <f>$AI14/E$3</f>
      </c>
      <c r="F14" s="466">
        <f>IFERROR(1/F$3,1)*SUMIFS(Data!$S$3:$S$137,Data!$O$3:$O$137,F$1,Data!$P$3:$P$137,IF(RIGHT(F$2,3)="YTD","&lt;="&amp;LEFT(F$2,2)*1,F$2),Data!$K$3:$K$137,$B14)</f>
      </c>
      <c r="G14" s="466">
        <f>AJ14/12</f>
      </c>
      <c r="H14" s="3"/>
      <c r="I14" s="466">
        <f>'Reporting 2021'!I20</f>
      </c>
      <c r="J14" s="466">
        <f>'Reporting 2021'!J20</f>
      </c>
      <c r="K14" s="466">
        <f>'Reporting 2021'!K20</f>
      </c>
      <c r="L14" s="466">
        <f>'Reporting 2021'!L20</f>
      </c>
      <c r="M14" s="466">
        <f>IFERROR(1/M$3,1)*SUMIFS(Data!$S$3:$S$137,Data!$O$3:$O$137,M$1,Data!$P$3:$P$137,IF(RIGHT(M$2,3)="YTD","&lt;="&amp;LEFT(M$2,2)*1,M$2),Data!$K$3:$K$137,$B14)</f>
      </c>
      <c r="N14" s="466">
        <f>SUMIFS(Data!$S$3:$S$137,Data!$O$3:$O$137,N$1,Data!$P$3:$P$137,N$2,Data!$K$3:$K$137,$B14)</f>
      </c>
      <c r="O14" s="466">
        <f>SUMIFS(Data!$S$3:$S$137,Data!$O$3:$O$137,O$1,Data!$P$3:$P$137,O$2,Data!$K$3:$K$137,$B14)</f>
      </c>
      <c r="P14" s="466">
        <f>SUMIFS(Data!$S$3:$S$137,Data!$O$3:$O$137,P$1,Data!$P$3:$P$137,P$2,Data!$K$3:$K$137,$B14)</f>
      </c>
      <c r="Q14" s="466">
        <f>SUMIFS(Data!$S$3:$S$137,Data!$O$3:$O$137,Q$1,Data!$P$3:$P$137,Q$2,Data!$K$3:$K$137,$B14)</f>
      </c>
      <c r="R14" s="466">
        <f>SUMIFS(Data!$S$3:$S$137,Data!$O$3:$O$137,R$1,Data!$P$3:$P$137,R$2,Data!$K$3:$K$137,$B14)</f>
      </c>
      <c r="S14" s="466">
        <f>SUMIFS(Data!$S$3:$S$137,Data!$O$3:$O$137,S$1,Data!$P$3:$P$137,S$2,Data!$K$3:$K$137,$B14)</f>
      </c>
      <c r="T14" s="466">
        <f>SUMIFS(Data!$S$3:$S$137,Data!$O$3:$O$137,T$1,Data!$P$3:$P$137,T$2,Data!$K$3:$K$137,$B14)</f>
      </c>
      <c r="U14" s="3"/>
      <c r="V14" s="466">
        <f>'Reporting 2021'!M20</f>
      </c>
      <c r="W14" s="466">
        <f>'Reporting 2021'!N20</f>
      </c>
      <c r="X14" s="466">
        <v>0</v>
      </c>
      <c r="Y14" s="466">
        <v>0</v>
      </c>
      <c r="Z14" s="466">
        <v>0</v>
      </c>
      <c r="AA14" s="466">
        <v>20833.33333333333</v>
      </c>
      <c r="AB14" s="466">
        <f>$G14</f>
      </c>
      <c r="AC14" s="466">
        <f>$G14</f>
      </c>
      <c r="AD14" s="466"/>
      <c r="AE14" s="466">
        <f>IFERROR(1/AE$3,1)*SUMIFS(Data!$S$3:$S$137,Data!$O$3:$O$137,AE$1,Data!$P$3:$P$137,IF(RIGHT(AE$2,3)="YTD","&lt;="&amp;LEFT(AE$2,2)*1,AE$2),Data!$K$3:$K$137,$B14)</f>
      </c>
      <c r="AF14" s="466">
        <f>AJ14/12*LEFT(AF$2,2)*1</f>
      </c>
      <c r="AG14" s="467">
        <f>AE14-AF14</f>
      </c>
      <c r="AH14" s="3"/>
      <c r="AI14" s="466">
        <v>113419</v>
      </c>
      <c r="AJ14" s="466">
        <v>250000</v>
      </c>
      <c r="AK14" s="3"/>
      <c r="AL14" s="3"/>
      <c r="AM14" s="3"/>
      <c r="AN14" s="3"/>
      <c r="AO14" s="3"/>
      <c r="AP14" s="3"/>
      <c r="AQ14" s="3"/>
      <c r="AR14" s="3"/>
    </row>
    <row x14ac:dyDescent="0.25" r="15" customHeight="1" ht="19.5">
      <c r="A15" s="3" t="s">
        <v>545</v>
      </c>
      <c r="B15" s="33" t="s">
        <v>546</v>
      </c>
      <c r="C15" s="195" t="s">
        <v>535</v>
      </c>
      <c r="D15" s="3"/>
      <c r="E15" s="466">
        <f>$AI15/E$3</f>
      </c>
      <c r="F15" s="466">
        <f>IFERROR(1/F$3,1)*SUMIFS(Data!$S$3:$S$137,Data!$O$3:$O$137,F$1,Data!$P$3:$P$137,IF(RIGHT(F$2,3)="YTD","&lt;="&amp;LEFT(F$2,2)*1,F$2),Data!$K$3:$K$137,$B15)</f>
      </c>
      <c r="G15" s="466">
        <f>AJ15/12</f>
      </c>
      <c r="H15" s="3"/>
      <c r="I15" s="466">
        <f>'Reporting 2021'!I21</f>
      </c>
      <c r="J15" s="466">
        <f>'Reporting 2021'!J21</f>
      </c>
      <c r="K15" s="466">
        <f>'Reporting 2021'!K21</f>
      </c>
      <c r="L15" s="466">
        <f>'Reporting 2021'!L21</f>
      </c>
      <c r="M15" s="466">
        <f>IFERROR(1/M$3,1)*SUMIFS(Data!$S$3:$S$137,Data!$O$3:$O$137,M$1,Data!$P$3:$P$137,IF(RIGHT(M$2,3)="YTD","&lt;="&amp;LEFT(M$2,2)*1,M$2),Data!$K$3:$K$137,$B15)</f>
      </c>
      <c r="N15" s="466">
        <f>SUMIFS(Data!$S$3:$S$137,Data!$O$3:$O$137,N$1,Data!$P$3:$P$137,N$2,Data!$K$3:$K$137,$B15)</f>
      </c>
      <c r="O15" s="466">
        <f>SUMIFS(Data!$S$3:$S$137,Data!$O$3:$O$137,O$1,Data!$P$3:$P$137,O$2,Data!$K$3:$K$137,$B15)</f>
      </c>
      <c r="P15" s="466">
        <f>SUMIFS(Data!$S$3:$S$137,Data!$O$3:$O$137,P$1,Data!$P$3:$P$137,P$2,Data!$K$3:$K$137,$B15)</f>
      </c>
      <c r="Q15" s="466">
        <f>SUMIFS(Data!$S$3:$S$137,Data!$O$3:$O$137,Q$1,Data!$P$3:$P$137,Q$2,Data!$K$3:$K$137,$B15)</f>
      </c>
      <c r="R15" s="466">
        <f>SUMIFS(Data!$S$3:$S$137,Data!$O$3:$O$137,R$1,Data!$P$3:$P$137,R$2,Data!$K$3:$K$137,$B15)</f>
      </c>
      <c r="S15" s="466">
        <f>SUMIFS(Data!$S$3:$S$137,Data!$O$3:$O$137,S$1,Data!$P$3:$P$137,S$2,Data!$K$3:$K$137,$B15)</f>
      </c>
      <c r="T15" s="466">
        <f>SUMIFS(Data!$S$3:$S$137,Data!$O$3:$O$137,T$1,Data!$P$3:$P$137,T$2,Data!$K$3:$K$137,$B15)</f>
      </c>
      <c r="U15" s="3"/>
      <c r="V15" s="466">
        <f>'Reporting 2021'!M21</f>
      </c>
      <c r="W15" s="466">
        <f>'Reporting 2021'!N21</f>
      </c>
      <c r="X15" s="466">
        <v>0</v>
      </c>
      <c r="Y15" s="466">
        <v>0</v>
      </c>
      <c r="Z15" s="466">
        <v>0</v>
      </c>
      <c r="AA15" s="466">
        <v>3750</v>
      </c>
      <c r="AB15" s="466">
        <f>$G15</f>
      </c>
      <c r="AC15" s="466">
        <f>$G15</f>
      </c>
      <c r="AD15" s="466"/>
      <c r="AE15" s="466">
        <f>IFERROR(1/AE$3,1)*SUMIFS(Data!$S$3:$S$137,Data!$O$3:$O$137,AE$1,Data!$P$3:$P$137,IF(RIGHT(AE$2,3)="YTD","&lt;="&amp;LEFT(AE$2,2)*1,AE$2),Data!$K$3:$K$137,$B15)</f>
      </c>
      <c r="AF15" s="466">
        <f>AJ15/12*LEFT(AF$2,2)*1</f>
      </c>
      <c r="AG15" s="467">
        <f>AE15-AF15</f>
      </c>
      <c r="AH15" s="3"/>
      <c r="AI15" s="466">
        <v>66513</v>
      </c>
      <c r="AJ15" s="466">
        <v>45000</v>
      </c>
      <c r="AK15" s="3"/>
      <c r="AL15" s="3"/>
      <c r="AM15" s="3"/>
      <c r="AN15" s="3"/>
      <c r="AO15" s="3"/>
      <c r="AP15" s="3"/>
      <c r="AQ15" s="3"/>
      <c r="AR15" s="3"/>
    </row>
    <row x14ac:dyDescent="0.25" r="16" customHeight="1" ht="19.5">
      <c r="A16" s="3" t="s">
        <v>547</v>
      </c>
      <c r="B16" s="33" t="s">
        <v>548</v>
      </c>
      <c r="C16" s="195" t="s">
        <v>535</v>
      </c>
      <c r="D16" s="3"/>
      <c r="E16" s="466">
        <f>$AI16/E$3</f>
      </c>
      <c r="F16" s="466">
        <f>IFERROR(1/F$3,1)*SUMIFS(Data!$S$3:$S$137,Data!$O$3:$O$137,F$1,Data!$P$3:$P$137,IF(RIGHT(F$2,3)="YTD","&lt;="&amp;LEFT(F$2,2)*1,F$2),Data!$K$3:$K$137,$B16)</f>
      </c>
      <c r="G16" s="466">
        <f>AJ16/12</f>
      </c>
      <c r="H16" s="3"/>
      <c r="I16" s="466">
        <f>'Reporting 2021'!I22</f>
      </c>
      <c r="J16" s="466">
        <f>'Reporting 2021'!J22</f>
      </c>
      <c r="K16" s="466">
        <f>'Reporting 2021'!K22</f>
      </c>
      <c r="L16" s="466">
        <f>'Reporting 2021'!L22</f>
      </c>
      <c r="M16" s="466">
        <f>IFERROR(1/M$3,1)*SUMIFS(Data!$S$3:$S$137,Data!$O$3:$O$137,M$1,Data!$P$3:$P$137,IF(RIGHT(M$2,3)="YTD","&lt;="&amp;LEFT(M$2,2)*1,M$2),Data!$K$3:$K$137,$B16)</f>
      </c>
      <c r="N16" s="466">
        <f>SUMIFS(Data!$S$3:$S$137,Data!$O$3:$O$137,N$1,Data!$P$3:$P$137,N$2,Data!$K$3:$K$137,$B16)</f>
      </c>
      <c r="O16" s="466">
        <f>SUMIFS(Data!$S$3:$S$137,Data!$O$3:$O$137,O$1,Data!$P$3:$P$137,O$2,Data!$K$3:$K$137,$B16)</f>
      </c>
      <c r="P16" s="466">
        <f>SUMIFS(Data!$S$3:$S$137,Data!$O$3:$O$137,P$1,Data!$P$3:$P$137,P$2,Data!$K$3:$K$137,$B16)</f>
      </c>
      <c r="Q16" s="466">
        <f>SUMIFS(Data!$S$3:$S$137,Data!$O$3:$O$137,Q$1,Data!$P$3:$P$137,Q$2,Data!$K$3:$K$137,$B16)</f>
      </c>
      <c r="R16" s="466">
        <f>SUMIFS(Data!$S$3:$S$137,Data!$O$3:$O$137,R$1,Data!$P$3:$P$137,R$2,Data!$K$3:$K$137,$B16)</f>
      </c>
      <c r="S16" s="466">
        <f>SUMIFS(Data!$S$3:$S$137,Data!$O$3:$O$137,S$1,Data!$P$3:$P$137,S$2,Data!$K$3:$K$137,$B16)</f>
      </c>
      <c r="T16" s="466">
        <f>SUMIFS(Data!$S$3:$S$137,Data!$O$3:$O$137,T$1,Data!$P$3:$P$137,T$2,Data!$K$3:$K$137,$B16)</f>
      </c>
      <c r="U16" s="3"/>
      <c r="V16" s="466">
        <f>'Reporting 2021'!M22</f>
      </c>
      <c r="W16" s="466">
        <f>'Reporting 2021'!N22</f>
      </c>
      <c r="X16" s="466">
        <v>13392</v>
      </c>
      <c r="Y16" s="466">
        <v>14551.5</v>
      </c>
      <c r="Z16" s="466">
        <v>13225</v>
      </c>
      <c r="AA16" s="466">
        <v>20833.33333333333</v>
      </c>
      <c r="AB16" s="466">
        <f>$G16</f>
      </c>
      <c r="AC16" s="466">
        <f>$G16</f>
      </c>
      <c r="AD16" s="466"/>
      <c r="AE16" s="466">
        <f>IFERROR(1/AE$3,1)*SUMIFS(Data!$S$3:$S$137,Data!$O$3:$O$137,AE$1,Data!$P$3:$P$137,IF(RIGHT(AE$2,3)="YTD","&lt;="&amp;LEFT(AE$2,2)*1,AE$2),Data!$K$3:$K$137,$B16)</f>
      </c>
      <c r="AF16" s="466">
        <f>AJ16/12*LEFT(AF$2,2)*1</f>
      </c>
      <c r="AG16" s="467">
        <f>AE16-AF16</f>
      </c>
      <c r="AH16" s="3"/>
      <c r="AI16" s="466">
        <v>3650</v>
      </c>
      <c r="AJ16" s="466">
        <v>250000</v>
      </c>
      <c r="AK16" s="3"/>
      <c r="AL16" s="3"/>
      <c r="AM16" s="3"/>
      <c r="AN16" s="3"/>
      <c r="AO16" s="3"/>
      <c r="AP16" s="3"/>
      <c r="AQ16" s="3"/>
      <c r="AR16" s="3"/>
    </row>
    <row x14ac:dyDescent="0.25" r="17" customHeight="1" ht="19.5">
      <c r="A17" s="3" t="s">
        <v>549</v>
      </c>
      <c r="B17" s="33" t="s">
        <v>550</v>
      </c>
      <c r="C17" s="195" t="s">
        <v>535</v>
      </c>
      <c r="D17" s="3"/>
      <c r="E17" s="466">
        <f>$AI17/E$3</f>
      </c>
      <c r="F17" s="466">
        <f>IFERROR(1/F$3,1)*SUMIFS(Data!$S$3:$S$137,Data!$O$3:$O$137,F$1,Data!$P$3:$P$137,IF(RIGHT(F$2,3)="YTD","&lt;="&amp;LEFT(F$2,2)*1,F$2),Data!$K$3:$K$137,$B17)</f>
      </c>
      <c r="G17" s="466">
        <f>AJ17/12</f>
      </c>
      <c r="H17" s="3"/>
      <c r="I17" s="466">
        <f>'Reporting 2021'!I23</f>
      </c>
      <c r="J17" s="466">
        <f>'Reporting 2021'!J23</f>
      </c>
      <c r="K17" s="466">
        <f>'Reporting 2021'!K23</f>
      </c>
      <c r="L17" s="466">
        <f>'Reporting 2021'!L23</f>
      </c>
      <c r="M17" s="466">
        <f>IFERROR(1/M$3,1)*SUMIFS(Data!$S$3:$S$137,Data!$O$3:$O$137,M$1,Data!$P$3:$P$137,IF(RIGHT(M$2,3)="YTD","&lt;="&amp;LEFT(M$2,2)*1,M$2),Data!$K$3:$K$137,$B17)</f>
      </c>
      <c r="N17" s="466">
        <f>SUMIFS(Data!$S$3:$S$137,Data!$O$3:$O$137,N$1,Data!$P$3:$P$137,N$2,Data!$K$3:$K$137,$B17)</f>
      </c>
      <c r="O17" s="466">
        <f>SUMIFS(Data!$S$3:$S$137,Data!$O$3:$O$137,O$1,Data!$P$3:$P$137,O$2,Data!$K$3:$K$137,$B17)</f>
      </c>
      <c r="P17" s="466">
        <f>SUMIFS(Data!$S$3:$S$137,Data!$O$3:$O$137,P$1,Data!$P$3:$P$137,P$2,Data!$K$3:$K$137,$B17)</f>
      </c>
      <c r="Q17" s="466">
        <f>SUMIFS(Data!$S$3:$S$137,Data!$O$3:$O$137,Q$1,Data!$P$3:$P$137,Q$2,Data!$K$3:$K$137,$B17)</f>
      </c>
      <c r="R17" s="466">
        <f>SUMIFS(Data!$S$3:$S$137,Data!$O$3:$O$137,R$1,Data!$P$3:$P$137,R$2,Data!$K$3:$K$137,$B17)</f>
      </c>
      <c r="S17" s="466">
        <f>SUMIFS(Data!$S$3:$S$137,Data!$O$3:$O$137,S$1,Data!$P$3:$P$137,S$2,Data!$K$3:$K$137,$B17)</f>
      </c>
      <c r="T17" s="466">
        <f>SUMIFS(Data!$S$3:$S$137,Data!$O$3:$O$137,T$1,Data!$P$3:$P$137,T$2,Data!$K$3:$K$137,$B17)</f>
      </c>
      <c r="U17" s="3"/>
      <c r="V17" s="466">
        <f>'Reporting 2021'!M23</f>
      </c>
      <c r="W17" s="466">
        <f>'Reporting 2021'!N23</f>
      </c>
      <c r="X17" s="466">
        <v>4500</v>
      </c>
      <c r="Y17" s="466">
        <v>40.5</v>
      </c>
      <c r="Z17" s="466">
        <v>3000</v>
      </c>
      <c r="AA17" s="466">
        <v>0</v>
      </c>
      <c r="AB17" s="466">
        <f>$G17</f>
      </c>
      <c r="AC17" s="466">
        <f>$G17</f>
      </c>
      <c r="AD17" s="466"/>
      <c r="AE17" s="466">
        <f>IFERROR(1/AE$3,1)*SUMIFS(Data!$S$3:$S$137,Data!$O$3:$O$137,AE$1,Data!$P$3:$P$137,IF(RIGHT(AE$2,3)="YTD","&lt;="&amp;LEFT(AE$2,2)*1,AE$2),Data!$K$3:$K$137,$B17)</f>
      </c>
      <c r="AF17" s="466">
        <f>AJ17/12*LEFT(AF$2,2)*1</f>
      </c>
      <c r="AG17" s="467">
        <f>AE17-AF17</f>
      </c>
      <c r="AH17" s="3"/>
      <c r="AI17" s="466">
        <v>851592</v>
      </c>
      <c r="AJ17" s="466">
        <v>0</v>
      </c>
      <c r="AK17" s="3"/>
      <c r="AL17" s="3"/>
      <c r="AM17" s="3"/>
      <c r="AN17" s="3"/>
      <c r="AO17" s="3"/>
      <c r="AP17" s="3"/>
      <c r="AQ17" s="3"/>
      <c r="AR17" s="3"/>
    </row>
    <row x14ac:dyDescent="0.25" r="18" customHeight="1" ht="19.5">
      <c r="A18" s="3"/>
      <c r="B18" s="33" t="s">
        <v>551</v>
      </c>
      <c r="C18" s="195" t="s">
        <v>535</v>
      </c>
      <c r="D18" s="3"/>
      <c r="E18" s="466">
        <f>$AI18/E$3</f>
      </c>
      <c r="F18" s="466">
        <f>IFERROR(1/F$3,1)*SUMIFS(Data!$S$3:$S$137,Data!$O$3:$O$137,F$1,Data!$P$3:$P$137,IF(RIGHT(F$2,3)="YTD","&lt;="&amp;LEFT(F$2,2)*1,F$2),Data!$K$3:$K$137,$B18)</f>
      </c>
      <c r="G18" s="466">
        <f>AJ18/12</f>
      </c>
      <c r="H18" s="3"/>
      <c r="I18" s="466">
        <f>'Reporting 2021'!I24</f>
      </c>
      <c r="J18" s="466">
        <f>'Reporting 2021'!J24</f>
      </c>
      <c r="K18" s="466">
        <f>'Reporting 2021'!K24</f>
      </c>
      <c r="L18" s="466">
        <f>'Reporting 2021'!L24</f>
      </c>
      <c r="M18" s="466">
        <f>IFERROR(1/M$3,1)*SUMIFS(Data!$S$3:$S$137,Data!$O$3:$O$137,M$1,Data!$P$3:$P$137,IF(RIGHT(M$2,3)="YTD","&lt;="&amp;LEFT(M$2,2)*1,M$2),Data!$K$3:$K$137,$B18)</f>
      </c>
      <c r="N18" s="466">
        <f>SUMIFS(Data!$S$3:$S$137,Data!$O$3:$O$137,N$1,Data!$P$3:$P$137,N$2,Data!$K$3:$K$137,$B18)</f>
      </c>
      <c r="O18" s="466">
        <f>SUMIFS(Data!$S$3:$S$137,Data!$O$3:$O$137,O$1,Data!$P$3:$P$137,O$2,Data!$K$3:$K$137,$B18)</f>
      </c>
      <c r="P18" s="466">
        <f>SUMIFS(Data!$S$3:$S$137,Data!$O$3:$O$137,P$1,Data!$P$3:$P$137,P$2,Data!$K$3:$K$137,$B18)</f>
      </c>
      <c r="Q18" s="466">
        <f>SUMIFS(Data!$S$3:$S$137,Data!$O$3:$O$137,Q$1,Data!$P$3:$P$137,Q$2,Data!$K$3:$K$137,$B18)</f>
      </c>
      <c r="R18" s="466">
        <f>SUMIFS(Data!$S$3:$S$137,Data!$O$3:$O$137,R$1,Data!$P$3:$P$137,R$2,Data!$K$3:$K$137,$B18)</f>
      </c>
      <c r="S18" s="466">
        <f>SUMIFS(Data!$S$3:$S$137,Data!$O$3:$O$137,S$1,Data!$P$3:$P$137,S$2,Data!$K$3:$K$137,$B18)</f>
      </c>
      <c r="T18" s="466">
        <f>SUMIFS(Data!$S$3:$S$137,Data!$O$3:$O$137,T$1,Data!$P$3:$P$137,T$2,Data!$K$3:$K$137,$B18)</f>
      </c>
      <c r="U18" s="3"/>
      <c r="V18" s="466">
        <f>'Reporting 2021'!M24</f>
      </c>
      <c r="W18" s="466">
        <f>'Reporting 2021'!N24</f>
      </c>
      <c r="X18" s="466">
        <v>0</v>
      </c>
      <c r="Y18" s="466">
        <v>0</v>
      </c>
      <c r="Z18" s="466">
        <v>0</v>
      </c>
      <c r="AA18" s="466">
        <v>0</v>
      </c>
      <c r="AB18" s="466">
        <f>$G18</f>
      </c>
      <c r="AC18" s="466">
        <f>$G18</f>
      </c>
      <c r="AD18" s="466"/>
      <c r="AE18" s="466">
        <f>IFERROR(1/AE$3,1)*SUMIFS(Data!$S$3:$S$137,Data!$O$3:$O$137,AE$1,Data!$P$3:$P$137,IF(RIGHT(AE$2,3)="YTD","&lt;="&amp;LEFT(AE$2,2)*1,AE$2),Data!$K$3:$K$137,$B18)</f>
      </c>
      <c r="AF18" s="466">
        <f>AJ18/12*LEFT(AF$2,2)*1</f>
      </c>
      <c r="AG18" s="467">
        <f>AE18-AF18</f>
      </c>
      <c r="AH18" s="3"/>
      <c r="AI18" s="466">
        <v>2741614</v>
      </c>
      <c r="AJ18" s="466">
        <v>0</v>
      </c>
      <c r="AK18" s="3"/>
      <c r="AL18" s="3"/>
      <c r="AM18" s="3"/>
      <c r="AN18" s="3"/>
      <c r="AO18" s="3"/>
      <c r="AP18" s="3"/>
      <c r="AQ18" s="3"/>
      <c r="AR18" s="3"/>
    </row>
    <row x14ac:dyDescent="0.25" r="19" customHeight="1" ht="19.5">
      <c r="A19" s="3"/>
      <c r="B19" s="41" t="s">
        <v>552</v>
      </c>
      <c r="C19" s="468"/>
      <c r="D19" s="3"/>
      <c r="E19" s="469"/>
      <c r="F19" s="469"/>
      <c r="G19" s="469"/>
      <c r="H19" s="3"/>
      <c r="I19" s="469">
        <f>SUM(I9:I18)</f>
      </c>
      <c r="J19" s="469">
        <f>SUM(J9:J18)</f>
      </c>
      <c r="K19" s="469">
        <f>SUM(K9:K18)</f>
      </c>
      <c r="L19" s="469">
        <f>SUM(L9:L18)</f>
      </c>
      <c r="M19" s="469">
        <f>SUM(M9:M18)</f>
      </c>
      <c r="N19" s="469">
        <f>SUM(N9:N18)</f>
      </c>
      <c r="O19" s="469">
        <f>SUM(O9:O18)</f>
      </c>
      <c r="P19" s="469">
        <f>SUM(P9:P18)</f>
      </c>
      <c r="Q19" s="469">
        <f>SUM(Q9:Q18)</f>
      </c>
      <c r="R19" s="469">
        <f>SUM(R9:R18)</f>
      </c>
      <c r="S19" s="469">
        <f>SUM(S9:S18)</f>
      </c>
      <c r="T19" s="469">
        <f>SUM(T9:T18)</f>
      </c>
      <c r="U19" s="469">
        <f>SUM(U9:U18)</f>
      </c>
      <c r="V19" s="469">
        <f>SUM(V9:V18)</f>
      </c>
      <c r="W19" s="469">
        <f>SUM(W9:W18)</f>
      </c>
      <c r="X19" s="469">
        <v>17892</v>
      </c>
      <c r="Y19" s="469">
        <v>14592</v>
      </c>
      <c r="Z19" s="469">
        <v>16225</v>
      </c>
      <c r="AA19" s="469"/>
      <c r="AB19" s="469"/>
      <c r="AC19" s="469"/>
      <c r="AD19" s="469"/>
      <c r="AE19" s="469">
        <f>SUM(AE9:AE18)</f>
      </c>
      <c r="AF19" s="469">
        <f>SUM(AF9:AF18)</f>
      </c>
      <c r="AG19" s="469">
        <f>SUM(AG9:AG18)</f>
      </c>
      <c r="AH19" s="3"/>
      <c r="AI19" s="469">
        <f>SUM(AI9:AI18)</f>
      </c>
      <c r="AJ19" s="469">
        <f>SUM(AJ9:AJ18)</f>
      </c>
      <c r="AK19" s="3"/>
      <c r="AL19" s="3"/>
      <c r="AM19" s="3"/>
      <c r="AN19" s="3"/>
      <c r="AO19" s="3"/>
      <c r="AP19" s="3"/>
      <c r="AQ19" s="3"/>
      <c r="AR19" s="3"/>
    </row>
    <row x14ac:dyDescent="0.25" r="20" customHeight="1" ht="19.5">
      <c r="A20" s="3"/>
      <c r="B20" s="470" t="s">
        <v>553</v>
      </c>
      <c r="C20" s="470" t="s">
        <v>535</v>
      </c>
      <c r="D20" s="3"/>
      <c r="E20" s="471">
        <f>AI20/12*LEFT($F$2,2)</f>
      </c>
      <c r="F20" s="471">
        <f>SUM(I20:T20)/LEFT($F$2,2)</f>
      </c>
      <c r="G20" s="471">
        <f>AI20/12</f>
      </c>
      <c r="H20" s="3"/>
      <c r="I20" s="471">
        <f>'Reporting 2021'!I26</f>
      </c>
      <c r="J20" s="471">
        <f>'Reporting 2021'!J26</f>
      </c>
      <c r="K20" s="471">
        <f>'Reporting 2021'!K26</f>
      </c>
      <c r="L20" s="471">
        <f>'Reporting 2021'!L26</f>
      </c>
      <c r="M20" s="471">
        <f>Reporting!G65</f>
      </c>
      <c r="N20" s="471">
        <f>Reporting!H65</f>
      </c>
      <c r="O20" s="471">
        <f>Reporting!I65</f>
      </c>
      <c r="P20" s="471">
        <f>Reporting!J65</f>
      </c>
      <c r="Q20" s="471">
        <f>Reporting!K65</f>
      </c>
      <c r="R20" s="471">
        <f>Reporting!L65</f>
      </c>
      <c r="S20" s="471">
        <f>Reporting!M65</f>
      </c>
      <c r="T20" s="471">
        <f>Reporting!N65</f>
      </c>
      <c r="U20" s="3"/>
      <c r="V20" s="471">
        <f>'Reporting 2021'!M26</f>
      </c>
      <c r="W20" s="471">
        <f>'Reporting 2021'!N26</f>
      </c>
      <c r="X20" s="471">
        <v>746612.570901014</v>
      </c>
      <c r="Y20" s="471">
        <v>357019.9968644641</v>
      </c>
      <c r="Z20" s="471">
        <v>134362.12</v>
      </c>
      <c r="AA20" s="471">
        <v>228467.8333333333</v>
      </c>
      <c r="AB20" s="471">
        <f>W20</f>
      </c>
      <c r="AC20" s="471">
        <f>W20</f>
      </c>
      <c r="AD20" s="471"/>
      <c r="AE20" s="471">
        <f>SUM(I20:T20)</f>
      </c>
      <c r="AF20" s="471">
        <f>AJ20/12*$C$5</f>
      </c>
      <c r="AG20" s="472">
        <f>AE20-AF20</f>
      </c>
      <c r="AH20" s="3"/>
      <c r="AI20" s="471">
        <v>2741614</v>
      </c>
      <c r="AJ20" s="471">
        <v>6630000</v>
      </c>
      <c r="AK20" s="3"/>
      <c r="AL20" s="3"/>
      <c r="AM20" s="3"/>
      <c r="AN20" s="3"/>
      <c r="AO20" s="3"/>
      <c r="AP20" s="3"/>
      <c r="AQ20" s="3"/>
      <c r="AR20" s="3"/>
    </row>
    <row x14ac:dyDescent="0.25" r="21" customHeight="1" ht="19.5">
      <c r="A21" s="3"/>
      <c r="B21" s="41" t="s">
        <v>554</v>
      </c>
      <c r="C21" s="41" t="s">
        <v>535</v>
      </c>
      <c r="D21" s="3"/>
      <c r="E21" s="469"/>
      <c r="F21" s="469"/>
      <c r="G21" s="469"/>
      <c r="H21" s="3"/>
      <c r="I21" s="469">
        <f>I19+I20</f>
      </c>
      <c r="J21" s="469">
        <f>J19+J20</f>
      </c>
      <c r="K21" s="469">
        <f>K19+K20</f>
      </c>
      <c r="L21" s="469">
        <f>L19+L20</f>
      </c>
      <c r="M21" s="469">
        <f>M19+M20</f>
      </c>
      <c r="N21" s="469">
        <f>N19+N20</f>
      </c>
      <c r="O21" s="469">
        <f>O19+O20</f>
      </c>
      <c r="P21" s="469">
        <f>P19+P20</f>
      </c>
      <c r="Q21" s="469">
        <f>Q19+Q20</f>
      </c>
      <c r="R21" s="469">
        <f>R19+R20</f>
      </c>
      <c r="S21" s="469">
        <f>S19+S20</f>
      </c>
      <c r="T21" s="469">
        <f>T19+T20</f>
      </c>
      <c r="U21" s="469">
        <f>U19+U20</f>
      </c>
      <c r="V21" s="469">
        <f>V19+V20</f>
      </c>
      <c r="W21" s="469">
        <f>W19+W20</f>
      </c>
      <c r="X21" s="469">
        <f>X19+X20</f>
      </c>
      <c r="Y21" s="469">
        <f>Y19+Y20</f>
      </c>
      <c r="Z21" s="469">
        <f>Z19+Z20</f>
      </c>
      <c r="AA21" s="469">
        <f>AA19+AA20</f>
      </c>
      <c r="AB21" s="473"/>
      <c r="AC21" s="473"/>
      <c r="AD21" s="473"/>
      <c r="AE21" s="469">
        <f>SUM(I21:K21)</f>
      </c>
      <c r="AF21" s="469"/>
      <c r="AG21" s="473"/>
      <c r="AH21" s="3"/>
      <c r="AI21" s="469">
        <f>SUM(M21:O21)</f>
      </c>
      <c r="AJ21" s="473"/>
      <c r="AK21" s="3"/>
      <c r="AL21" s="3"/>
      <c r="AM21" s="3"/>
      <c r="AN21" s="3"/>
      <c r="AO21" s="3"/>
      <c r="AP21" s="3"/>
      <c r="AQ21" s="3"/>
      <c r="AR21" s="3"/>
    </row>
    <row x14ac:dyDescent="0.25" r="22" customHeight="1" ht="19.5">
      <c r="A22" s="3"/>
      <c r="B22" s="41" t="s">
        <v>555</v>
      </c>
      <c r="C22" s="41"/>
      <c r="D22" s="3"/>
      <c r="E22" s="469"/>
      <c r="F22" s="469"/>
      <c r="G22" s="469"/>
      <c r="H22" s="3"/>
      <c r="I22" s="469">
        <f>I21</f>
      </c>
      <c r="J22" s="469">
        <f>I22+J21</f>
      </c>
      <c r="K22" s="469">
        <f>J22+K21</f>
      </c>
      <c r="L22" s="469">
        <f>K22+L21</f>
      </c>
      <c r="M22" s="469"/>
      <c r="N22" s="469"/>
      <c r="O22" s="469"/>
      <c r="P22" s="469"/>
      <c r="Q22" s="469"/>
      <c r="R22" s="469"/>
      <c r="S22" s="469"/>
      <c r="T22" s="469"/>
      <c r="U22" s="3"/>
      <c r="V22" s="473">
        <f>L22+V21</f>
      </c>
      <c r="W22" s="473">
        <f>V22+W21</f>
      </c>
      <c r="X22" s="473">
        <f>W22+X21</f>
      </c>
      <c r="Y22" s="473">
        <f>X22+Y21</f>
      </c>
      <c r="Z22" s="473">
        <f>Y22+Z21</f>
      </c>
      <c r="AA22" s="473">
        <f>Z22+AA21</f>
      </c>
      <c r="AB22" s="473"/>
      <c r="AC22" s="473"/>
      <c r="AD22" s="473"/>
      <c r="AE22" s="469"/>
      <c r="AF22" s="469"/>
      <c r="AG22" s="473"/>
      <c r="AH22" s="3"/>
      <c r="AI22" s="469"/>
      <c r="AJ22" s="473"/>
      <c r="AK22" s="3"/>
      <c r="AL22" s="3"/>
      <c r="AM22" s="3"/>
      <c r="AN22" s="3"/>
      <c r="AO22" s="3"/>
      <c r="AP22" s="3"/>
      <c r="AQ22" s="3"/>
      <c r="AR22" s="3"/>
    </row>
    <row x14ac:dyDescent="0.25" r="23" customHeight="1" ht="19.5">
      <c r="A23" s="3"/>
      <c r="B23" s="41" t="s">
        <v>556</v>
      </c>
      <c r="C23" s="41"/>
      <c r="D23" s="3"/>
      <c r="E23" s="469"/>
      <c r="F23" s="469"/>
      <c r="G23" s="469"/>
      <c r="H23" s="3"/>
      <c r="I23" s="469">
        <f>(AJ20+AJ19)/12</f>
      </c>
      <c r="J23" s="469">
        <f>I23*2</f>
      </c>
      <c r="K23" s="469">
        <f>I23*3</f>
      </c>
      <c r="L23" s="469">
        <f>I23*4</f>
      </c>
      <c r="M23" s="469">
        <f>(AN20+AN19)/12</f>
      </c>
      <c r="N23" s="469">
        <f>(AO20+AO19)/12</f>
      </c>
      <c r="O23" s="469">
        <f>(AP20+AP19)/12</f>
      </c>
      <c r="P23" s="469">
        <f>(AQ20+AQ19)/12</f>
      </c>
      <c r="Q23" s="469">
        <f>(AR20+AR19)/12</f>
      </c>
      <c r="R23" s="469">
        <f>(AS20+AS19)/12</f>
      </c>
      <c r="S23" s="469">
        <f>(AT20+AT19)/12</f>
      </c>
      <c r="T23" s="469">
        <f>(AU20+AU19)/12</f>
      </c>
      <c r="U23" s="469">
        <f>(AV20+AV19)/12</f>
      </c>
      <c r="V23" s="469">
        <f>I23*5</f>
      </c>
      <c r="W23" s="469">
        <f>I23*6</f>
      </c>
      <c r="X23" s="469">
        <f>I23*7</f>
      </c>
      <c r="Y23" s="469">
        <f>I23*8</f>
      </c>
      <c r="Z23" s="469">
        <f>I23*9</f>
      </c>
      <c r="AA23" s="469">
        <f>I23*10</f>
      </c>
      <c r="AB23" s="469">
        <f>I23*11</f>
      </c>
      <c r="AC23" s="469">
        <f>I23*12</f>
      </c>
      <c r="AD23" s="469">
        <f>(BF20+BF19)/12</f>
      </c>
      <c r="AE23" s="469">
        <f>(BG20+BG19)/12</f>
      </c>
      <c r="AF23" s="469">
        <f>(BH20+BH19)/12</f>
      </c>
      <c r="AG23" s="469">
        <f>(BI20+BI19)/12</f>
      </c>
      <c r="AH23" s="469">
        <f>(BJ20+BJ19)/12</f>
      </c>
      <c r="AI23" s="469">
        <f>(BK20+BK19)/12</f>
      </c>
      <c r="AJ23" s="473">
        <f>AJ20+AJ19</f>
      </c>
      <c r="AK23" s="3"/>
      <c r="AL23" s="3"/>
      <c r="AM23" s="3"/>
      <c r="AN23" s="3"/>
      <c r="AO23" s="3"/>
      <c r="AP23" s="3"/>
      <c r="AQ23" s="3"/>
      <c r="AR23" s="3"/>
    </row>
    <row x14ac:dyDescent="0.25" r="24" customHeight="1" ht="19.5">
      <c r="A24" s="3"/>
      <c r="B24" s="33"/>
      <c r="C24" s="3"/>
      <c r="D24" s="3"/>
      <c r="E24" s="474"/>
      <c r="F24" s="474"/>
      <c r="G24" s="475"/>
      <c r="H24" s="3"/>
      <c r="I24" s="475"/>
      <c r="J24" s="475"/>
      <c r="K24" s="475"/>
      <c r="L24" s="475"/>
      <c r="M24" s="475"/>
      <c r="N24" s="475"/>
      <c r="O24" s="475"/>
      <c r="P24" s="475"/>
      <c r="Q24" s="475"/>
      <c r="R24" s="475"/>
      <c r="S24" s="475"/>
      <c r="T24" s="475"/>
      <c r="U24" s="3"/>
      <c r="V24" s="439"/>
      <c r="W24" s="439"/>
      <c r="X24" s="439"/>
      <c r="Y24" s="439"/>
      <c r="Z24" s="439"/>
      <c r="AA24" s="439"/>
      <c r="AB24" s="439"/>
      <c r="AC24" s="439"/>
      <c r="AD24" s="466"/>
      <c r="AE24" s="439"/>
      <c r="AF24" s="439"/>
      <c r="AG24" s="476"/>
      <c r="AH24" s="3"/>
      <c r="AI24" s="439"/>
      <c r="AJ24" s="439"/>
      <c r="AK24" s="3"/>
      <c r="AL24" s="3"/>
      <c r="AM24" s="3"/>
      <c r="AN24" s="3"/>
      <c r="AO24" s="3"/>
      <c r="AP24" s="3"/>
      <c r="AQ24" s="3"/>
      <c r="AR24" s="3"/>
    </row>
    <row x14ac:dyDescent="0.25" r="25" customHeight="1" ht="19.5">
      <c r="A25" s="3"/>
      <c r="B25" s="442"/>
      <c r="C25" s="468"/>
      <c r="D25" s="3"/>
      <c r="E25" s="445" t="s">
        <v>513</v>
      </c>
      <c r="F25" s="446" t="s">
        <v>514</v>
      </c>
      <c r="G25" s="447" t="s">
        <v>514</v>
      </c>
      <c r="H25" s="3"/>
      <c r="I25" s="450" t="s">
        <v>557</v>
      </c>
      <c r="J25" s="450" t="s">
        <v>558</v>
      </c>
      <c r="K25" s="450" t="s">
        <v>559</v>
      </c>
      <c r="L25" s="450" t="s">
        <v>560</v>
      </c>
      <c r="M25" s="448" t="s">
        <v>561</v>
      </c>
      <c r="N25" s="448" t="s">
        <v>515</v>
      </c>
      <c r="O25" s="448" t="s">
        <v>516</v>
      </c>
      <c r="P25" s="448" t="s">
        <v>517</v>
      </c>
      <c r="Q25" s="448" t="s">
        <v>518</v>
      </c>
      <c r="R25" s="448" t="s">
        <v>519</v>
      </c>
      <c r="S25" s="448" t="s">
        <v>520</v>
      </c>
      <c r="T25" s="448" t="s">
        <v>521</v>
      </c>
      <c r="U25" s="3"/>
      <c r="V25" s="450" t="s">
        <v>522</v>
      </c>
      <c r="W25" s="450" t="s">
        <v>523</v>
      </c>
      <c r="X25" s="450" t="s">
        <v>524</v>
      </c>
      <c r="Y25" s="450" t="s">
        <v>525</v>
      </c>
      <c r="Z25" s="450" t="s">
        <v>526</v>
      </c>
      <c r="AA25" s="451" t="s">
        <v>519</v>
      </c>
      <c r="AB25" s="452" t="s">
        <v>520</v>
      </c>
      <c r="AC25" s="452" t="s">
        <v>521</v>
      </c>
      <c r="AD25" s="469"/>
      <c r="AE25" s="448">
        <f>AE$2&amp;" "&amp;AE$1</f>
      </c>
      <c r="AF25" s="454">
        <f>AF$2&amp;" "&amp;AF$1</f>
      </c>
      <c r="AG25" s="455">
        <f>AG$2&amp;" "&amp;AG$1</f>
      </c>
      <c r="AH25" s="3"/>
      <c r="AI25" s="456">
        <f>AI$2&amp;" "&amp;AI$1</f>
      </c>
      <c r="AJ25" s="454">
        <f>AJ$2&amp;" "&amp;AJ$1</f>
      </c>
      <c r="AK25" s="3"/>
      <c r="AL25" s="3"/>
      <c r="AM25" s="3"/>
      <c r="AN25" s="3"/>
      <c r="AO25" s="3"/>
      <c r="AP25" s="3"/>
      <c r="AQ25" s="3"/>
      <c r="AR25" s="3"/>
    </row>
    <row x14ac:dyDescent="0.25" r="26" customHeight="1" ht="19.5">
      <c r="A26" s="3"/>
      <c r="B26" s="33"/>
      <c r="C26" s="195"/>
      <c r="D26" s="3"/>
      <c r="E26" s="445" t="s">
        <v>40</v>
      </c>
      <c r="F26" s="446" t="s">
        <v>40</v>
      </c>
      <c r="G26" s="447" t="s">
        <v>441</v>
      </c>
      <c r="H26" s="3"/>
      <c r="I26" s="450" t="s">
        <v>40</v>
      </c>
      <c r="J26" s="450" t="s">
        <v>40</v>
      </c>
      <c r="K26" s="450" t="s">
        <v>40</v>
      </c>
      <c r="L26" s="450" t="s">
        <v>40</v>
      </c>
      <c r="M26" s="448" t="s">
        <v>40</v>
      </c>
      <c r="N26" s="448" t="s">
        <v>40</v>
      </c>
      <c r="O26" s="448" t="s">
        <v>40</v>
      </c>
      <c r="P26" s="448" t="s">
        <v>40</v>
      </c>
      <c r="Q26" s="448" t="s">
        <v>40</v>
      </c>
      <c r="R26" s="448" t="s">
        <v>40</v>
      </c>
      <c r="S26" s="448" t="s">
        <v>40</v>
      </c>
      <c r="T26" s="448" t="s">
        <v>40</v>
      </c>
      <c r="U26" s="3"/>
      <c r="V26" s="450" t="s">
        <v>40</v>
      </c>
      <c r="W26" s="450" t="s">
        <v>40</v>
      </c>
      <c r="X26" s="450" t="s">
        <v>40</v>
      </c>
      <c r="Y26" s="450" t="s">
        <v>40</v>
      </c>
      <c r="Z26" s="450" t="s">
        <v>40</v>
      </c>
      <c r="AA26" s="451" t="s">
        <v>528</v>
      </c>
      <c r="AB26" s="452" t="s">
        <v>528</v>
      </c>
      <c r="AC26" s="452" t="s">
        <v>528</v>
      </c>
      <c r="AD26" s="469"/>
      <c r="AE26" s="448" t="s">
        <v>529</v>
      </c>
      <c r="AF26" s="454" t="s">
        <v>530</v>
      </c>
      <c r="AG26" s="455" t="s">
        <v>531</v>
      </c>
      <c r="AH26" s="3"/>
      <c r="AI26" s="457" t="s">
        <v>529</v>
      </c>
      <c r="AJ26" s="458" t="s">
        <v>530</v>
      </c>
      <c r="AK26" s="3"/>
      <c r="AL26" s="3"/>
      <c r="AM26" s="3"/>
      <c r="AN26" s="3"/>
      <c r="AO26" s="3"/>
      <c r="AP26" s="3"/>
      <c r="AQ26" s="3"/>
      <c r="AR26" s="3"/>
    </row>
    <row x14ac:dyDescent="0.25" r="27" customHeight="1" ht="19.5">
      <c r="A27" s="3"/>
      <c r="B27" s="459" t="s">
        <v>446</v>
      </c>
      <c r="C27" s="468"/>
      <c r="D27" s="3"/>
      <c r="E27" s="477"/>
      <c r="F27" s="477"/>
      <c r="G27" s="477"/>
      <c r="H27" s="3"/>
      <c r="I27" s="477"/>
      <c r="J27" s="477"/>
      <c r="K27" s="477"/>
      <c r="L27" s="477"/>
      <c r="M27" s="477"/>
      <c r="N27" s="477"/>
      <c r="O27" s="477"/>
      <c r="P27" s="477"/>
      <c r="Q27" s="477"/>
      <c r="R27" s="477"/>
      <c r="S27" s="477"/>
      <c r="T27" s="477"/>
      <c r="U27" s="3"/>
      <c r="V27" s="469"/>
      <c r="W27" s="469"/>
      <c r="X27" s="469"/>
      <c r="Y27" s="469"/>
      <c r="Z27" s="469"/>
      <c r="AA27" s="469"/>
      <c r="AB27" s="469"/>
      <c r="AC27" s="469"/>
      <c r="AD27" s="469"/>
      <c r="AE27" s="469"/>
      <c r="AF27" s="469"/>
      <c r="AG27" s="473"/>
      <c r="AH27" s="3"/>
      <c r="AI27" s="469"/>
      <c r="AJ27" s="469"/>
      <c r="AK27" s="3"/>
      <c r="AL27" s="3"/>
      <c r="AM27" s="3"/>
      <c r="AN27" s="3"/>
      <c r="AO27" s="3"/>
      <c r="AP27" s="3"/>
      <c r="AQ27" s="3"/>
      <c r="AR27" s="3"/>
    </row>
    <row x14ac:dyDescent="0.25" r="28" customHeight="1" ht="19.5">
      <c r="A28" s="3" t="s">
        <v>533</v>
      </c>
      <c r="B28" s="478" t="s">
        <v>534</v>
      </c>
      <c r="C28" s="468" t="s">
        <v>535</v>
      </c>
      <c r="D28" s="3"/>
      <c r="E28" s="466">
        <f>$AI28/E$3</f>
      </c>
      <c r="F28" s="466">
        <f>IFERROR(1/F$3,1)*SUMIFS(Data!$AD$3:$AD$137,Data!$Y$3:$Y$137,F$1,Data!$Z$3:$Z$137,IF(RIGHT(F$2,3)="YTD","&lt;="&amp;LEFT(F$2,2)*1,F$2),Data!$K$3:$K$137,$B28)</f>
      </c>
      <c r="G28" s="466">
        <f>AJ28/12</f>
      </c>
      <c r="H28" s="476"/>
      <c r="I28" s="466">
        <f>'Reporting 2021'!I39</f>
      </c>
      <c r="J28" s="466">
        <f>'Reporting 2021'!J39</f>
      </c>
      <c r="K28" s="466">
        <f>'Reporting 2021'!K39</f>
      </c>
      <c r="L28" s="466">
        <f>'Reporting 2021'!L39</f>
      </c>
      <c r="M28" s="466">
        <f>IFERROR(1/M$3,1)*SUMIFS(Data!$AD$3:$AD$149,Data!$Y$3:$Y$149,M$1,Data!$Z$3:$Z$149,IF(RIGHT(M$2,3)="YTD","&lt;="&amp;LEFT(M$2,2)*1,M$2),Data!$K$3:$K$149,$B28)</f>
      </c>
      <c r="N28" s="466">
        <f>IFERROR(1/N$3,1)*SUMIFS(Data!$AD$3:$AD$149,Data!$Y$3:$Y$149,N$1,Data!$Z$3:$Z$149,IF(RIGHT(N$2,3)="YTD","&lt;="&amp;LEFT(N$2,2)*1,N$2),Data!$K$3:$K$149,$B28)</f>
      </c>
      <c r="O28" s="466">
        <f>IFERROR(1/O$3,1)*SUMIFS(Data!$AD$3:$AD$149,Data!$Y$3:$Y$149,O$1,Data!$Z$3:$Z$149,IF(RIGHT(O$2,3)="YTD","&lt;="&amp;LEFT(O$2,2)*1,O$2),Data!$K$3:$K$149,$B28)</f>
      </c>
      <c r="P28" s="466">
        <f>IFERROR(1/P$3,1)*SUMIFS(Data!$AD$3:$AD$149,Data!$Y$3:$Y$149,P$1,Data!$Z$3:$Z$149,IF(RIGHT(P$2,3)="YTD","&lt;="&amp;LEFT(P$2,2)*1,P$2),Data!$K$3:$K$149,$B28)</f>
      </c>
      <c r="Q28" s="466">
        <f>IFERROR(1/Q$3,1)*SUMIFS(Data!$AD$3:$AD$149,Data!$Y$3:$Y$149,Q$1,Data!$Z$3:$Z$149,IF(RIGHT(Q$2,3)="YTD","&lt;="&amp;LEFT(Q$2,2)*1,Q$2),Data!$K$3:$K$149,$B28)</f>
      </c>
      <c r="R28" s="466">
        <f>IFERROR(1/R$3,1)*SUMIFS(Data!$AD$3:$AD$149,Data!$Y$3:$Y$149,R$1,Data!$Z$3:$Z$149,IF(RIGHT(R$2,3)="YTD","&lt;="&amp;LEFT(R$2,2)*1,R$2),Data!$K$3:$K$149,$B28)</f>
      </c>
      <c r="S28" s="466">
        <f>IFERROR(1/S$3,1)*SUMIFS(Data!$AD$3:$AD$149,Data!$Y$3:$Y$149,S$1,Data!$Z$3:$Z$149,IF(RIGHT(S$2,3)="YTD","&lt;="&amp;LEFT(S$2,2)*1,S$2),Data!$K$3:$K$149,$B28)</f>
      </c>
      <c r="T28" s="466">
        <f>IFERROR(1/T$3,1)*SUMIFS(Data!$AD$3:$AD$149,Data!$Y$3:$Y$149,T$1,Data!$Z$3:$Z$149,IF(RIGHT(T$2,3)="YTD","&lt;="&amp;LEFT(T$2,2)*1,T$2),Data!$K$3:$K$149,$B28)</f>
      </c>
      <c r="U28" s="3"/>
      <c r="V28" s="466">
        <f>'Reporting 2021'!M39</f>
      </c>
      <c r="W28" s="466">
        <f>'Reporting 2021'!N39</f>
      </c>
      <c r="X28" s="466">
        <f>IFERROR(1/X$3,1)*SUMIFS(Data!$AD$3:$AD$149,Data!$Y$3:$Y$149,X$1,Data!$Z$3:$Z$149,IF(RIGHT(X$2,3)="YTD","&lt;="&amp;LEFT(X$2,2)*1,X$2),Data!$K$3:$K$149,$B28)</f>
      </c>
      <c r="Y28" s="466">
        <v>0</v>
      </c>
      <c r="Z28" s="466">
        <v>0</v>
      </c>
      <c r="AA28" s="466">
        <f>$G28</f>
      </c>
      <c r="AB28" s="466">
        <f>$G28</f>
      </c>
      <c r="AC28" s="466">
        <f>$G28</f>
      </c>
      <c r="AD28" s="466"/>
      <c r="AE28" s="466">
        <f>IFERROR(1/AE$3,1)*SUMIFS(Data!$AD$3:$AD$137,Data!$Y$3:$Y$137,AE$1,Data!$Z$3:$Z$137,IF(RIGHT(AE$2,3)="YTD","&lt;="&amp;LEFT(AE$2,2)*1,AE$2),Data!$K$3:$K$137,$B9)</f>
      </c>
      <c r="AF28" s="466">
        <f>AJ28/12*$C$5</f>
      </c>
      <c r="AG28" s="467">
        <f>AE28-AF28</f>
      </c>
      <c r="AH28" s="3"/>
      <c r="AI28" s="466">
        <v>689300</v>
      </c>
      <c r="AJ28" s="466">
        <v>370000</v>
      </c>
      <c r="AK28" s="3"/>
      <c r="AL28" s="3"/>
      <c r="AM28" s="3"/>
      <c r="AN28" s="3"/>
      <c r="AO28" s="3"/>
      <c r="AP28" s="3"/>
      <c r="AQ28" s="3"/>
      <c r="AR28" s="3"/>
    </row>
    <row x14ac:dyDescent="0.25" r="29" customHeight="1" ht="19.5">
      <c r="A29" s="3" t="s">
        <v>536</v>
      </c>
      <c r="B29" s="478" t="s">
        <v>537</v>
      </c>
      <c r="C29" s="468" t="s">
        <v>535</v>
      </c>
      <c r="D29" s="3"/>
      <c r="E29" s="466">
        <f>$AI29/E$3</f>
      </c>
      <c r="F29" s="466">
        <f>IFERROR(1/F$3,1)*SUMIFS(Data!$AD$3:$AD$137,Data!$Y$3:$Y$137,F$1,Data!$Z$3:$Z$137,IF(RIGHT(F$2,3)="YTD","&lt;="&amp;LEFT(F$2,2)*1,F$2),Data!$K$3:$K$137,$B29)</f>
      </c>
      <c r="G29" s="466">
        <f>AJ29/12</f>
      </c>
      <c r="H29" s="476"/>
      <c r="I29" s="466">
        <f>'Reporting 2021'!I40</f>
      </c>
      <c r="J29" s="466">
        <f>'Reporting 2021'!J40</f>
      </c>
      <c r="K29" s="466">
        <f>'Reporting 2021'!K40</f>
      </c>
      <c r="L29" s="466">
        <f>'Reporting 2021'!L40</f>
      </c>
      <c r="M29" s="466">
        <f>IFERROR(1/M$3,1)*SUMIFS(Data!$AD$3:$AD$149,Data!$Y$3:$Y$149,M$1,Data!$Z$3:$Z$149,IF(RIGHT(M$2,3)="YTD","&lt;="&amp;LEFT(M$2,2)*1,M$2),Data!$K$3:$K$149,$B29)</f>
      </c>
      <c r="N29" s="466">
        <f>IFERROR(1/N$3,1)*SUMIFS(Data!$AD$3:$AD$149,Data!$Y$3:$Y$149,N$1,Data!$Z$3:$Z$149,IF(RIGHT(N$2,3)="YTD","&lt;="&amp;LEFT(N$2,2)*1,N$2),Data!$K$3:$K$149,$B29)</f>
      </c>
      <c r="O29" s="466">
        <f>IFERROR(1/O$3,1)*SUMIFS(Data!$AD$3:$AD$149,Data!$Y$3:$Y$149,O$1,Data!$Z$3:$Z$149,IF(RIGHT(O$2,3)="YTD","&lt;="&amp;LEFT(O$2,2)*1,O$2),Data!$K$3:$K$149,$B29)</f>
      </c>
      <c r="P29" s="466">
        <f>IFERROR(1/P$3,1)*SUMIFS(Data!$AD$3:$AD$149,Data!$Y$3:$Y$149,P$1,Data!$Z$3:$Z$149,IF(RIGHT(P$2,3)="YTD","&lt;="&amp;LEFT(P$2,2)*1,P$2),Data!$K$3:$K$149,$B29)</f>
      </c>
      <c r="Q29" s="466">
        <f>IFERROR(1/Q$3,1)*SUMIFS(Data!$AD$3:$AD$149,Data!$Y$3:$Y$149,Q$1,Data!$Z$3:$Z$149,IF(RIGHT(Q$2,3)="YTD","&lt;="&amp;LEFT(Q$2,2)*1,Q$2),Data!$K$3:$K$149,$B29)</f>
      </c>
      <c r="R29" s="466">
        <f>IFERROR(1/R$3,1)*SUMIFS(Data!$AD$3:$AD$149,Data!$Y$3:$Y$149,R$1,Data!$Z$3:$Z$149,IF(RIGHT(R$2,3)="YTD","&lt;="&amp;LEFT(R$2,2)*1,R$2),Data!$K$3:$K$149,$B29)</f>
      </c>
      <c r="S29" s="466">
        <f>IFERROR(1/S$3,1)*SUMIFS(Data!$AD$3:$AD$149,Data!$Y$3:$Y$149,S$1,Data!$Z$3:$Z$149,IF(RIGHT(S$2,3)="YTD","&lt;="&amp;LEFT(S$2,2)*1,S$2),Data!$K$3:$K$149,$B29)</f>
      </c>
      <c r="T29" s="466">
        <f>IFERROR(1/T$3,1)*SUMIFS(Data!$AD$3:$AD$149,Data!$Y$3:$Y$149,T$1,Data!$Z$3:$Z$149,IF(RIGHT(T$2,3)="YTD","&lt;="&amp;LEFT(T$2,2)*1,T$2),Data!$K$3:$K$149,$B29)</f>
      </c>
      <c r="U29" s="3"/>
      <c r="V29" s="466">
        <f>'Reporting 2021'!M40</f>
      </c>
      <c r="W29" s="466">
        <f>'Reporting 2021'!N40</f>
      </c>
      <c r="X29" s="466">
        <f>IFERROR(1/X$3,1)*SUMIFS(Data!$AD$3:$AD$149,Data!$Y$3:$Y$149,X$1,Data!$Z$3:$Z$149,IF(RIGHT(X$2,3)="YTD","&lt;="&amp;LEFT(X$2,2)*1,X$2),Data!$K$3:$K$149,$B29)</f>
      </c>
      <c r="Y29" s="466">
        <v>0</v>
      </c>
      <c r="Z29" s="466">
        <v>0</v>
      </c>
      <c r="AA29" s="466">
        <f>$G29</f>
      </c>
      <c r="AB29" s="466">
        <f>$G29</f>
      </c>
      <c r="AC29" s="466">
        <f>$G29</f>
      </c>
      <c r="AD29" s="466"/>
      <c r="AE29" s="466">
        <f>IFERROR(1/AE$3,1)*SUMIFS(Data!$AD$3:$AD$149,Data!$Y$3:$Y$149,AE$1,Data!$Z$3:$Z$149,IF(RIGHT(AE$2,3)="YTD","&lt;="&amp;LEFT(AE$2,2)*1,AE$2),Data!$K$3:$K$149,$B10)</f>
      </c>
      <c r="AF29" s="466">
        <f>AJ29/12*$C$5</f>
      </c>
      <c r="AG29" s="467">
        <f>AE29-AF29</f>
      </c>
      <c r="AH29" s="3"/>
      <c r="AI29" s="466">
        <v>20096</v>
      </c>
      <c r="AJ29" s="466">
        <v>0</v>
      </c>
      <c r="AK29" s="3"/>
      <c r="AL29" s="3"/>
      <c r="AM29" s="3"/>
      <c r="AN29" s="3"/>
      <c r="AO29" s="3"/>
      <c r="AP29" s="3"/>
      <c r="AQ29" s="3"/>
      <c r="AR29" s="3"/>
    </row>
    <row x14ac:dyDescent="0.25" r="30" customHeight="1" ht="19.5">
      <c r="A30" s="3"/>
      <c r="B30" s="478" t="s">
        <v>538</v>
      </c>
      <c r="C30" s="468" t="s">
        <v>535</v>
      </c>
      <c r="D30" s="3"/>
      <c r="E30" s="466">
        <f>$AI30/E$3</f>
      </c>
      <c r="F30" s="466">
        <f>IFERROR(1/F$3,1)*SUMIFS(Data!$AD$3:$AD$137,Data!$Y$3:$Y$137,F$1,Data!$Z$3:$Z$137,IF(RIGHT(F$2,3)="YTD","&lt;="&amp;LEFT(F$2,2)*1,F$2),Data!$K$3:$K$137,$B30)</f>
      </c>
      <c r="G30" s="466">
        <f>AJ30/12</f>
      </c>
      <c r="H30" s="476"/>
      <c r="I30" s="466">
        <f>'Reporting 2021'!I41</f>
      </c>
      <c r="J30" s="466">
        <f>'Reporting 2021'!J41</f>
      </c>
      <c r="K30" s="466">
        <f>'Reporting 2021'!K41</f>
      </c>
      <c r="L30" s="466">
        <f>'Reporting 2021'!L41</f>
      </c>
      <c r="M30" s="466">
        <f>IFERROR(1/M$3,1)*SUMIFS(Data!$AD$3:$AD$149,Data!$Y$3:$Y$149,M$1,Data!$Z$3:$Z$149,IF(RIGHT(M$2,3)="YTD","&lt;="&amp;LEFT(M$2,2)*1,M$2),Data!$K$3:$K$149,$B30)</f>
      </c>
      <c r="N30" s="466">
        <f>IFERROR(1/N$3,1)*SUMIFS(Data!$AD$3:$AD$149,Data!$Y$3:$Y$149,N$1,Data!$Z$3:$Z$149,IF(RIGHT(N$2,3)="YTD","&lt;="&amp;LEFT(N$2,2)*1,N$2),Data!$K$3:$K$149,$B30)</f>
      </c>
      <c r="O30" s="466">
        <f>IFERROR(1/O$3,1)*SUMIFS(Data!$AD$3:$AD$149,Data!$Y$3:$Y$149,O$1,Data!$Z$3:$Z$149,IF(RIGHT(O$2,3)="YTD","&lt;="&amp;LEFT(O$2,2)*1,O$2),Data!$K$3:$K$149,$B30)</f>
      </c>
      <c r="P30" s="466">
        <f>IFERROR(1/P$3,1)*SUMIFS(Data!$AD$3:$AD$149,Data!$Y$3:$Y$149,P$1,Data!$Z$3:$Z$149,IF(RIGHT(P$2,3)="YTD","&lt;="&amp;LEFT(P$2,2)*1,P$2),Data!$K$3:$K$149,$B30)</f>
      </c>
      <c r="Q30" s="466">
        <f>IFERROR(1/Q$3,1)*SUMIFS(Data!$AD$3:$AD$149,Data!$Y$3:$Y$149,Q$1,Data!$Z$3:$Z$149,IF(RIGHT(Q$2,3)="YTD","&lt;="&amp;LEFT(Q$2,2)*1,Q$2),Data!$K$3:$K$149,$B30)</f>
      </c>
      <c r="R30" s="466">
        <f>IFERROR(1/R$3,1)*SUMIFS(Data!$AD$3:$AD$149,Data!$Y$3:$Y$149,R$1,Data!$Z$3:$Z$149,IF(RIGHT(R$2,3)="YTD","&lt;="&amp;LEFT(R$2,2)*1,R$2),Data!$K$3:$K$149,$B30)</f>
      </c>
      <c r="S30" s="466">
        <f>IFERROR(1/S$3,1)*SUMIFS(Data!$AD$3:$AD$149,Data!$Y$3:$Y$149,S$1,Data!$Z$3:$Z$149,IF(RIGHT(S$2,3)="YTD","&lt;="&amp;LEFT(S$2,2)*1,S$2),Data!$K$3:$K$149,$B30)</f>
      </c>
      <c r="T30" s="466">
        <f>IFERROR(1/T$3,1)*SUMIFS(Data!$AD$3:$AD$149,Data!$Y$3:$Y$149,T$1,Data!$Z$3:$Z$149,IF(RIGHT(T$2,3)="YTD","&lt;="&amp;LEFT(T$2,2)*1,T$2),Data!$K$3:$K$149,$B30)</f>
      </c>
      <c r="U30" s="3"/>
      <c r="V30" s="466">
        <f>'Reporting 2021'!M41</f>
      </c>
      <c r="W30" s="466">
        <f>'Reporting 2021'!N41</f>
      </c>
      <c r="X30" s="466">
        <f>IFERROR(1/X$3,1)*SUMIFS(Data!$AD$3:$AD$149,Data!$Y$3:$Y$149,X$1,Data!$Z$3:$Z$149,IF(RIGHT(X$2,3)="YTD","&lt;="&amp;LEFT(X$2,2)*1,X$2),Data!$K$3:$K$149,$B30)</f>
      </c>
      <c r="Y30" s="466">
        <v>0</v>
      </c>
      <c r="Z30" s="466">
        <v>0</v>
      </c>
      <c r="AA30" s="466">
        <f>$G30</f>
      </c>
      <c r="AB30" s="466">
        <f>$G30</f>
      </c>
      <c r="AC30" s="466">
        <f>$G30</f>
      </c>
      <c r="AD30" s="466"/>
      <c r="AE30" s="466">
        <f>IFERROR(1/AE$3,1)*SUMIFS(Data!$AD$3:$AD$137,Data!$Y$3:$Y$137,AE$1,Data!$Z$3:$Z$137,IF(RIGHT(AE$2,3)="YTD","&lt;="&amp;LEFT(AE$2,2)*1,AE$2),Data!$K$3:$K$137,$B11)</f>
      </c>
      <c r="AF30" s="466">
        <f>AJ30/12*$C$5</f>
      </c>
      <c r="AG30" s="467">
        <f>AE30-AF30</f>
      </c>
      <c r="AH30" s="3"/>
      <c r="AI30" s="466">
        <v>5075</v>
      </c>
      <c r="AJ30" s="466">
        <v>0</v>
      </c>
      <c r="AK30" s="3"/>
      <c r="AL30" s="3"/>
      <c r="AM30" s="3"/>
      <c r="AN30" s="3"/>
      <c r="AO30" s="3"/>
      <c r="AP30" s="3"/>
      <c r="AQ30" s="3"/>
      <c r="AR30" s="3"/>
    </row>
    <row x14ac:dyDescent="0.25" r="31" customHeight="1" ht="19.5">
      <c r="A31" s="3" t="s">
        <v>539</v>
      </c>
      <c r="B31" s="478" t="s">
        <v>540</v>
      </c>
      <c r="C31" s="468" t="s">
        <v>535</v>
      </c>
      <c r="D31" s="3"/>
      <c r="E31" s="466">
        <f>$AI31/E$3</f>
      </c>
      <c r="F31" s="466">
        <f>IFERROR(1/F$3,1)*SUMIFS(Data!$AD$3:$AD$137,Data!$Y$3:$Y$137,F$1,Data!$Z$3:$Z$137,IF(RIGHT(F$2,3)="YTD","&lt;="&amp;LEFT(F$2,2)*1,F$2),Data!$K$3:$K$137,$B31)</f>
      </c>
      <c r="G31" s="466">
        <f>AJ31/12</f>
      </c>
      <c r="H31" s="476"/>
      <c r="I31" s="466">
        <f>'Reporting 2021'!I42</f>
      </c>
      <c r="J31" s="466">
        <f>'Reporting 2021'!J42</f>
      </c>
      <c r="K31" s="466">
        <f>'Reporting 2021'!K42</f>
      </c>
      <c r="L31" s="466">
        <f>'Reporting 2021'!L42</f>
      </c>
      <c r="M31" s="466">
        <f>IFERROR(1/M$3,1)*SUMIFS(Data!$AD$3:$AD$149,Data!$Y$3:$Y$149,M$1,Data!$Z$3:$Z$149,IF(RIGHT(M$2,3)="YTD","&lt;="&amp;LEFT(M$2,2)*1,M$2),Data!$K$3:$K$149,$B31)</f>
      </c>
      <c r="N31" s="466">
        <f>IFERROR(1/N$3,1)*SUMIFS(Data!$AD$3:$AD$149,Data!$Y$3:$Y$149,N$1,Data!$Z$3:$Z$149,IF(RIGHT(N$2,3)="YTD","&lt;="&amp;LEFT(N$2,2)*1,N$2),Data!$K$3:$K$149,$B31)</f>
      </c>
      <c r="O31" s="466">
        <f>IFERROR(1/O$3,1)*SUMIFS(Data!$AD$3:$AD$149,Data!$Y$3:$Y$149,O$1,Data!$Z$3:$Z$149,IF(RIGHT(O$2,3)="YTD","&lt;="&amp;LEFT(O$2,2)*1,O$2),Data!$K$3:$K$149,$B31)</f>
      </c>
      <c r="P31" s="466">
        <f>IFERROR(1/P$3,1)*SUMIFS(Data!$AD$3:$AD$149,Data!$Y$3:$Y$149,P$1,Data!$Z$3:$Z$149,IF(RIGHT(P$2,3)="YTD","&lt;="&amp;LEFT(P$2,2)*1,P$2),Data!$K$3:$K$149,$B31)</f>
      </c>
      <c r="Q31" s="466">
        <f>IFERROR(1/Q$3,1)*SUMIFS(Data!$AD$3:$AD$149,Data!$Y$3:$Y$149,Q$1,Data!$Z$3:$Z$149,IF(RIGHT(Q$2,3)="YTD","&lt;="&amp;LEFT(Q$2,2)*1,Q$2),Data!$K$3:$K$149,$B31)</f>
      </c>
      <c r="R31" s="466">
        <f>IFERROR(1/R$3,1)*SUMIFS(Data!$AD$3:$AD$149,Data!$Y$3:$Y$149,R$1,Data!$Z$3:$Z$149,IF(RIGHT(R$2,3)="YTD","&lt;="&amp;LEFT(R$2,2)*1,R$2),Data!$K$3:$K$149,$B31)</f>
      </c>
      <c r="S31" s="466">
        <f>IFERROR(1/S$3,1)*SUMIFS(Data!$AD$3:$AD$149,Data!$Y$3:$Y$149,S$1,Data!$Z$3:$Z$149,IF(RIGHT(S$2,3)="YTD","&lt;="&amp;LEFT(S$2,2)*1,S$2),Data!$K$3:$K$149,$B31)</f>
      </c>
      <c r="T31" s="466">
        <f>IFERROR(1/T$3,1)*SUMIFS(Data!$AD$3:$AD$149,Data!$Y$3:$Y$149,T$1,Data!$Z$3:$Z$149,IF(RIGHT(T$2,3)="YTD","&lt;="&amp;LEFT(T$2,2)*1,T$2),Data!$K$3:$K$149,$B31)</f>
      </c>
      <c r="U31" s="3"/>
      <c r="V31" s="466">
        <f>'Reporting 2021'!M42</f>
      </c>
      <c r="W31" s="466">
        <f>'Reporting 2021'!N42</f>
      </c>
      <c r="X31" s="466">
        <f>IFERROR(1/X$3,1)*SUMIFS(Data!$AD$3:$AD$149,Data!$Y$3:$Y$149,X$1,Data!$Z$3:$Z$149,IF(RIGHT(X$2,3)="YTD","&lt;="&amp;LEFT(X$2,2)*1,X$2),Data!$K$3:$K$149,$B31)</f>
      </c>
      <c r="Y31" s="466">
        <v>0</v>
      </c>
      <c r="Z31" s="466">
        <v>0</v>
      </c>
      <c r="AA31" s="466">
        <f>$G31</f>
      </c>
      <c r="AB31" s="466">
        <f>$G31</f>
      </c>
      <c r="AC31" s="466">
        <f>$G31</f>
      </c>
      <c r="AD31" s="466"/>
      <c r="AE31" s="466">
        <f>IFERROR(1/AE$3,1)*SUMIFS(Data!$AD$3:$AD$137,Data!$Y$3:$Y$137,AE$1,Data!$Z$3:$Z$137,IF(RIGHT(AE$2,3)="YTD","&lt;="&amp;LEFT(AE$2,2)*1,AE$2),Data!$K$3:$K$137,$B12)</f>
      </c>
      <c r="AF31" s="466">
        <f>AJ31/12*$C$5</f>
      </c>
      <c r="AG31" s="467">
        <f>AE31-AF31</f>
      </c>
      <c r="AH31" s="3"/>
      <c r="AI31" s="466">
        <v>37742.5</v>
      </c>
      <c r="AJ31" s="466">
        <v>0</v>
      </c>
      <c r="AK31" s="3"/>
      <c r="AL31" s="3"/>
      <c r="AM31" s="3"/>
      <c r="AN31" s="3"/>
      <c r="AO31" s="3"/>
      <c r="AP31" s="3"/>
      <c r="AQ31" s="3"/>
      <c r="AR31" s="3"/>
    </row>
    <row x14ac:dyDescent="0.25" r="32" customHeight="1" ht="19.5">
      <c r="A32" s="3" t="s">
        <v>541</v>
      </c>
      <c r="B32" s="478" t="s">
        <v>542</v>
      </c>
      <c r="C32" s="468" t="s">
        <v>535</v>
      </c>
      <c r="D32" s="3"/>
      <c r="E32" s="466">
        <f>$AI32/E$3</f>
      </c>
      <c r="F32" s="466">
        <f>IFERROR(1/F$3,1)*SUMIFS(Data!$AD$3:$AD$137,Data!$Y$3:$Y$137,F$1,Data!$Z$3:$Z$137,IF(RIGHT(F$2,3)="YTD","&lt;="&amp;LEFT(F$2,2)*1,F$2),Data!$K$3:$K$137,$B32)</f>
      </c>
      <c r="G32" s="466">
        <f>AJ32/12</f>
      </c>
      <c r="H32" s="476"/>
      <c r="I32" s="466">
        <f>'Reporting 2021'!I43</f>
      </c>
      <c r="J32" s="466">
        <f>'Reporting 2021'!J43</f>
      </c>
      <c r="K32" s="466">
        <f>'Reporting 2021'!K43</f>
      </c>
      <c r="L32" s="466">
        <f>'Reporting 2021'!L43</f>
      </c>
      <c r="M32" s="466">
        <f>IFERROR(1/M$3,1)*SUMIFS(Data!$AD$3:$AD$149,Data!$Y$3:$Y$149,M$1,Data!$Z$3:$Z$149,IF(RIGHT(M$2,3)="YTD","&lt;="&amp;LEFT(M$2,2)*1,M$2),Data!$K$3:$K$149,$B32)</f>
      </c>
      <c r="N32" s="466">
        <f>IFERROR(1/N$3,1)*SUMIFS(Data!$AD$3:$AD$149,Data!$Y$3:$Y$149,N$1,Data!$Z$3:$Z$149,IF(RIGHT(N$2,3)="YTD","&lt;="&amp;LEFT(N$2,2)*1,N$2),Data!$K$3:$K$149,$B32)</f>
      </c>
      <c r="O32" s="466">
        <f>IFERROR(1/O$3,1)*SUMIFS(Data!$AD$3:$AD$149,Data!$Y$3:$Y$149,O$1,Data!$Z$3:$Z$149,IF(RIGHT(O$2,3)="YTD","&lt;="&amp;LEFT(O$2,2)*1,O$2),Data!$K$3:$K$149,$B32)</f>
      </c>
      <c r="P32" s="466">
        <f>IFERROR(1/P$3,1)*SUMIFS(Data!$AD$3:$AD$149,Data!$Y$3:$Y$149,P$1,Data!$Z$3:$Z$149,IF(RIGHT(P$2,3)="YTD","&lt;="&amp;LEFT(P$2,2)*1,P$2),Data!$K$3:$K$149,$B32)</f>
      </c>
      <c r="Q32" s="466">
        <f>IFERROR(1/Q$3,1)*SUMIFS(Data!$AD$3:$AD$149,Data!$Y$3:$Y$149,Q$1,Data!$Z$3:$Z$149,IF(RIGHT(Q$2,3)="YTD","&lt;="&amp;LEFT(Q$2,2)*1,Q$2),Data!$K$3:$K$149,$B32)</f>
      </c>
      <c r="R32" s="466">
        <f>IFERROR(1/R$3,1)*SUMIFS(Data!$AD$3:$AD$149,Data!$Y$3:$Y$149,R$1,Data!$Z$3:$Z$149,IF(RIGHT(R$2,3)="YTD","&lt;="&amp;LEFT(R$2,2)*1,R$2),Data!$K$3:$K$149,$B32)</f>
      </c>
      <c r="S32" s="466">
        <f>IFERROR(1/S$3,1)*SUMIFS(Data!$AD$3:$AD$149,Data!$Y$3:$Y$149,S$1,Data!$Z$3:$Z$149,IF(RIGHT(S$2,3)="YTD","&lt;="&amp;LEFT(S$2,2)*1,S$2),Data!$K$3:$K$149,$B32)</f>
      </c>
      <c r="T32" s="466">
        <f>IFERROR(1/T$3,1)*SUMIFS(Data!$AD$3:$AD$149,Data!$Y$3:$Y$149,T$1,Data!$Z$3:$Z$149,IF(RIGHT(T$2,3)="YTD","&lt;="&amp;LEFT(T$2,2)*1,T$2),Data!$K$3:$K$149,$B32)</f>
      </c>
      <c r="U32" s="3"/>
      <c r="V32" s="466">
        <f>'Reporting 2021'!M43</f>
      </c>
      <c r="W32" s="466">
        <f>'Reporting 2021'!N43</f>
      </c>
      <c r="X32" s="466">
        <f>IFERROR(1/X$3,1)*SUMIFS(Data!$AD$3:$AD$149,Data!$Y$3:$Y$149,X$1,Data!$Z$3:$Z$149,IF(RIGHT(X$2,3)="YTD","&lt;="&amp;LEFT(X$2,2)*1,X$2),Data!$K$3:$K$149,$B32)</f>
      </c>
      <c r="Y32" s="466">
        <v>0</v>
      </c>
      <c r="Z32" s="466">
        <v>0</v>
      </c>
      <c r="AA32" s="466">
        <f>$G32</f>
      </c>
      <c r="AB32" s="466">
        <f>$G32</f>
      </c>
      <c r="AC32" s="466">
        <f>$G32</f>
      </c>
      <c r="AD32" s="466"/>
      <c r="AE32" s="466">
        <f>IFERROR(1/AE$3,1)*SUMIFS(Data!$AD$3:$AD$137,Data!$Y$3:$Y$137,AE$1,Data!$Z$3:$Z$137,IF(RIGHT(AE$2,3)="YTD","&lt;="&amp;LEFT(AE$2,2)*1,AE$2),Data!$K$3:$K$137,$B13)</f>
      </c>
      <c r="AF32" s="466">
        <f>AJ32/12*$C$5</f>
      </c>
      <c r="AG32" s="467">
        <f>AE32-AF32</f>
      </c>
      <c r="AH32" s="3"/>
      <c r="AI32" s="466">
        <v>271320</v>
      </c>
      <c r="AJ32" s="466">
        <v>0</v>
      </c>
      <c r="AK32" s="3"/>
      <c r="AL32" s="3"/>
      <c r="AM32" s="3"/>
      <c r="AN32" s="3"/>
      <c r="AO32" s="3"/>
      <c r="AP32" s="3"/>
      <c r="AQ32" s="3"/>
      <c r="AR32" s="3"/>
    </row>
    <row x14ac:dyDescent="0.25" r="33" customHeight="1" ht="19.5">
      <c r="A33" s="3" t="s">
        <v>543</v>
      </c>
      <c r="B33" s="478" t="s">
        <v>544</v>
      </c>
      <c r="C33" s="468" t="s">
        <v>535</v>
      </c>
      <c r="D33" s="3"/>
      <c r="E33" s="466">
        <f>$AI33/E$3</f>
      </c>
      <c r="F33" s="466">
        <f>IFERROR(1/F$3,1)*SUMIFS(Data!$AD$3:$AD$137,Data!$Y$3:$Y$137,F$1,Data!$Z$3:$Z$137,IF(RIGHT(F$2,3)="YTD","&lt;="&amp;LEFT(F$2,2)*1,F$2),Data!$K$3:$K$137,$B33)</f>
      </c>
      <c r="G33" s="466">
        <f>AJ33/12</f>
      </c>
      <c r="H33" s="476"/>
      <c r="I33" s="466">
        <f>'Reporting 2021'!I44</f>
      </c>
      <c r="J33" s="466">
        <f>'Reporting 2021'!J44</f>
      </c>
      <c r="K33" s="466">
        <f>'Reporting 2021'!K44</f>
      </c>
      <c r="L33" s="466">
        <f>'Reporting 2021'!L44</f>
      </c>
      <c r="M33" s="466">
        <f>IFERROR(1/M$3,1)*SUMIFS(Data!$AD$3:$AD$149,Data!$Y$3:$Y$149,M$1,Data!$Z$3:$Z$149,IF(RIGHT(M$2,3)="YTD","&lt;="&amp;LEFT(M$2,2)*1,M$2),Data!$K$3:$K$149,$B33)</f>
      </c>
      <c r="N33" s="466">
        <f>IFERROR(1/N$3,1)*SUMIFS(Data!$AD$3:$AD$149,Data!$Y$3:$Y$149,N$1,Data!$Z$3:$Z$149,IF(RIGHT(N$2,3)="YTD","&lt;="&amp;LEFT(N$2,2)*1,N$2),Data!$K$3:$K$149,$B33)</f>
      </c>
      <c r="O33" s="466">
        <f>IFERROR(1/O$3,1)*SUMIFS(Data!$AD$3:$AD$149,Data!$Y$3:$Y$149,O$1,Data!$Z$3:$Z$149,IF(RIGHT(O$2,3)="YTD","&lt;="&amp;LEFT(O$2,2)*1,O$2),Data!$K$3:$K$149,$B33)</f>
      </c>
      <c r="P33" s="466">
        <f>IFERROR(1/P$3,1)*SUMIFS(Data!$AD$3:$AD$149,Data!$Y$3:$Y$149,P$1,Data!$Z$3:$Z$149,IF(RIGHT(P$2,3)="YTD","&lt;="&amp;LEFT(P$2,2)*1,P$2),Data!$K$3:$K$149,$B33)</f>
      </c>
      <c r="Q33" s="466">
        <f>IFERROR(1/Q$3,1)*SUMIFS(Data!$AD$3:$AD$149,Data!$Y$3:$Y$149,Q$1,Data!$Z$3:$Z$149,IF(RIGHT(Q$2,3)="YTD","&lt;="&amp;LEFT(Q$2,2)*1,Q$2),Data!$K$3:$K$149,$B33)</f>
      </c>
      <c r="R33" s="466">
        <f>IFERROR(1/R$3,1)*SUMIFS(Data!$AD$3:$AD$149,Data!$Y$3:$Y$149,R$1,Data!$Z$3:$Z$149,IF(RIGHT(R$2,3)="YTD","&lt;="&amp;LEFT(R$2,2)*1,R$2),Data!$K$3:$K$149,$B33)</f>
      </c>
      <c r="S33" s="466">
        <f>IFERROR(1/S$3,1)*SUMIFS(Data!$AD$3:$AD$149,Data!$Y$3:$Y$149,S$1,Data!$Z$3:$Z$149,IF(RIGHT(S$2,3)="YTD","&lt;="&amp;LEFT(S$2,2)*1,S$2),Data!$K$3:$K$149,$B33)</f>
      </c>
      <c r="T33" s="466">
        <f>IFERROR(1/T$3,1)*SUMIFS(Data!$AD$3:$AD$149,Data!$Y$3:$Y$149,T$1,Data!$Z$3:$Z$149,IF(RIGHT(T$2,3)="YTD","&lt;="&amp;LEFT(T$2,2)*1,T$2),Data!$K$3:$K$149,$B33)</f>
      </c>
      <c r="U33" s="3"/>
      <c r="V33" s="466">
        <f>'Reporting 2021'!M44</f>
      </c>
      <c r="W33" s="466">
        <f>'Reporting 2021'!N44</f>
      </c>
      <c r="X33" s="466">
        <f>IFERROR(1/X$3,1)*SUMIFS(Data!$AD$3:$AD$149,Data!$Y$3:$Y$149,X$1,Data!$Z$3:$Z$149,IF(RIGHT(X$2,3)="YTD","&lt;="&amp;LEFT(X$2,2)*1,X$2),Data!$K$3:$K$149,$B33)</f>
      </c>
      <c r="Y33" s="466">
        <v>0</v>
      </c>
      <c r="Z33" s="466">
        <v>4770</v>
      </c>
      <c r="AA33" s="466">
        <f>$G33</f>
      </c>
      <c r="AB33" s="466">
        <f>$G33</f>
      </c>
      <c r="AC33" s="466">
        <f>$G33</f>
      </c>
      <c r="AD33" s="466"/>
      <c r="AE33" s="466">
        <f>IFERROR(1/AE$3,1)*SUMIFS(Data!$AD$3:$AD$137,Data!$Y$3:$Y$137,AE$1,Data!$Z$3:$Z$137,IF(RIGHT(AE$2,3)="YTD","&lt;="&amp;LEFT(AE$2,2)*1,AE$2),Data!$K$3:$K$137,$B14)</f>
      </c>
      <c r="AF33" s="466">
        <f>AJ33/12*$C$5</f>
      </c>
      <c r="AG33" s="467">
        <f>AE33-AF33</f>
      </c>
      <c r="AH33" s="3"/>
      <c r="AI33" s="466">
        <v>45130</v>
      </c>
      <c r="AJ33" s="466">
        <v>250000</v>
      </c>
      <c r="AK33" s="3"/>
      <c r="AL33" s="3"/>
      <c r="AM33" s="3"/>
      <c r="AN33" s="3"/>
      <c r="AO33" s="3"/>
      <c r="AP33" s="3"/>
      <c r="AQ33" s="3"/>
      <c r="AR33" s="3"/>
    </row>
    <row x14ac:dyDescent="0.25" r="34" customHeight="1" ht="19.5">
      <c r="A34" s="3" t="s">
        <v>545</v>
      </c>
      <c r="B34" s="478" t="s">
        <v>546</v>
      </c>
      <c r="C34" s="468" t="s">
        <v>535</v>
      </c>
      <c r="D34" s="3"/>
      <c r="E34" s="466">
        <f>$AI34/E$3</f>
      </c>
      <c r="F34" s="466">
        <f>IFERROR(1/F$3,1)*SUMIFS(Data!$AD$3:$AD$137,Data!$Y$3:$Y$137,F$1,Data!$Z$3:$Z$137,IF(RIGHT(F$2,3)="YTD","&lt;="&amp;LEFT(F$2,2)*1,F$2),Data!$K$3:$K$137,$B34)</f>
      </c>
      <c r="G34" s="466">
        <f>AJ34/12</f>
      </c>
      <c r="H34" s="476"/>
      <c r="I34" s="466">
        <f>'Reporting 2021'!I45</f>
      </c>
      <c r="J34" s="466">
        <f>'Reporting 2021'!J45</f>
      </c>
      <c r="K34" s="466">
        <f>'Reporting 2021'!K45</f>
      </c>
      <c r="L34" s="466">
        <f>'Reporting 2021'!L45</f>
      </c>
      <c r="M34" s="466">
        <f>IFERROR(1/M$3,1)*SUMIFS(Data!$AD$3:$AD$149,Data!$Y$3:$Y$149,M$1,Data!$Z$3:$Z$149,IF(RIGHT(M$2,3)="YTD","&lt;="&amp;LEFT(M$2,2)*1,M$2),Data!$K$3:$K$149,$B34)</f>
      </c>
      <c r="N34" s="466">
        <f>IFERROR(1/N$3,1)*SUMIFS(Data!$AD$3:$AD$149,Data!$Y$3:$Y$149,N$1,Data!$Z$3:$Z$149,IF(RIGHT(N$2,3)="YTD","&lt;="&amp;LEFT(N$2,2)*1,N$2),Data!$K$3:$K$149,$B34)</f>
      </c>
      <c r="O34" s="466">
        <f>IFERROR(1/O$3,1)*SUMIFS(Data!$AD$3:$AD$149,Data!$Y$3:$Y$149,O$1,Data!$Z$3:$Z$149,IF(RIGHT(O$2,3)="YTD","&lt;="&amp;LEFT(O$2,2)*1,O$2),Data!$K$3:$K$149,$B34)</f>
      </c>
      <c r="P34" s="466">
        <f>IFERROR(1/P$3,1)*SUMIFS(Data!$AD$3:$AD$149,Data!$Y$3:$Y$149,P$1,Data!$Z$3:$Z$149,IF(RIGHT(P$2,3)="YTD","&lt;="&amp;LEFT(P$2,2)*1,P$2),Data!$K$3:$K$149,$B34)</f>
      </c>
      <c r="Q34" s="466">
        <f>IFERROR(1/Q$3,1)*SUMIFS(Data!$AD$3:$AD$149,Data!$Y$3:$Y$149,Q$1,Data!$Z$3:$Z$149,IF(RIGHT(Q$2,3)="YTD","&lt;="&amp;LEFT(Q$2,2)*1,Q$2),Data!$K$3:$K$149,$B34)</f>
      </c>
      <c r="R34" s="466">
        <f>IFERROR(1/R$3,1)*SUMIFS(Data!$AD$3:$AD$149,Data!$Y$3:$Y$149,R$1,Data!$Z$3:$Z$149,IF(RIGHT(R$2,3)="YTD","&lt;="&amp;LEFT(R$2,2)*1,R$2),Data!$K$3:$K$149,$B34)</f>
      </c>
      <c r="S34" s="466">
        <f>IFERROR(1/S$3,1)*SUMIFS(Data!$AD$3:$AD$149,Data!$Y$3:$Y$149,S$1,Data!$Z$3:$Z$149,IF(RIGHT(S$2,3)="YTD","&lt;="&amp;LEFT(S$2,2)*1,S$2),Data!$K$3:$K$149,$B34)</f>
      </c>
      <c r="T34" s="466">
        <f>IFERROR(1/T$3,1)*SUMIFS(Data!$AD$3:$AD$149,Data!$Y$3:$Y$149,T$1,Data!$Z$3:$Z$149,IF(RIGHT(T$2,3)="YTD","&lt;="&amp;LEFT(T$2,2)*1,T$2),Data!$K$3:$K$149,$B34)</f>
      </c>
      <c r="U34" s="3"/>
      <c r="V34" s="466">
        <f>'Reporting 2021'!M45</f>
      </c>
      <c r="W34" s="466">
        <f>'Reporting 2021'!N45</f>
      </c>
      <c r="X34" s="466">
        <f>IFERROR(1/X$3,1)*SUMIFS(Data!$AD$3:$AD$149,Data!$Y$3:$Y$149,X$1,Data!$Z$3:$Z$149,IF(RIGHT(X$2,3)="YTD","&lt;="&amp;LEFT(X$2,2)*1,X$2),Data!$K$3:$K$149,$B34)</f>
      </c>
      <c r="Y34" s="466">
        <v>0</v>
      </c>
      <c r="Z34" s="466">
        <v>0</v>
      </c>
      <c r="AA34" s="466">
        <f>$G34</f>
      </c>
      <c r="AB34" s="466">
        <f>$G34</f>
      </c>
      <c r="AC34" s="466">
        <f>$G34</f>
      </c>
      <c r="AD34" s="466"/>
      <c r="AE34" s="466">
        <f>IFERROR(1/AE$3,1)*SUMIFS(Data!$AD$3:$AD$137,Data!$Y$3:$Y$137,AE$1,Data!$Z$3:$Z$137,IF(RIGHT(AE$2,3)="YTD","&lt;="&amp;LEFT(AE$2,2)*1,AE$2),Data!$K$3:$K$137,$B15)</f>
      </c>
      <c r="AF34" s="466">
        <f>AJ34/12*$C$5</f>
      </c>
      <c r="AG34" s="467">
        <f>AE34-AF34</f>
      </c>
      <c r="AH34" s="3"/>
      <c r="AI34" s="466">
        <v>127114</v>
      </c>
      <c r="AJ34" s="466">
        <v>45000</v>
      </c>
      <c r="AK34" s="3"/>
      <c r="AL34" s="3"/>
      <c r="AM34" s="3"/>
      <c r="AN34" s="3"/>
      <c r="AO34" s="3"/>
      <c r="AP34" s="3"/>
      <c r="AQ34" s="3"/>
      <c r="AR34" s="3"/>
    </row>
    <row x14ac:dyDescent="0.25" r="35" customHeight="1" ht="19.5">
      <c r="A35" s="3" t="s">
        <v>547</v>
      </c>
      <c r="B35" s="478" t="s">
        <v>548</v>
      </c>
      <c r="C35" s="468" t="s">
        <v>535</v>
      </c>
      <c r="D35" s="3"/>
      <c r="E35" s="466">
        <f>$AI35/E$3</f>
      </c>
      <c r="F35" s="466">
        <f>IFERROR(1/F$3,1)*SUMIFS(Data!$AD$3:$AD$137,Data!$Y$3:$Y$137,F$1,Data!$Z$3:$Z$137,IF(RIGHT(F$2,3)="YTD","&lt;="&amp;LEFT(F$2,2)*1,F$2),Data!$K$3:$K$137,$B35)</f>
      </c>
      <c r="G35" s="466">
        <f>AJ35/12</f>
      </c>
      <c r="H35" s="476"/>
      <c r="I35" s="466">
        <f>'Reporting 2021'!I46</f>
      </c>
      <c r="J35" s="466">
        <f>'Reporting 2021'!J46</f>
      </c>
      <c r="K35" s="466">
        <f>'Reporting 2021'!K46</f>
      </c>
      <c r="L35" s="466">
        <f>'Reporting 2021'!L46</f>
      </c>
      <c r="M35" s="466">
        <f>IFERROR(1/M$3,1)*SUMIFS(Data!$AD$3:$AD$149,Data!$Y$3:$Y$149,M$1,Data!$Z$3:$Z$149,IF(RIGHT(M$2,3)="YTD","&lt;="&amp;LEFT(M$2,2)*1,M$2),Data!$K$3:$K$149,$B35)</f>
      </c>
      <c r="N35" s="466">
        <f>IFERROR(1/N$3,1)*SUMIFS(Data!$AD$3:$AD$149,Data!$Y$3:$Y$149,N$1,Data!$Z$3:$Z$149,IF(RIGHT(N$2,3)="YTD","&lt;="&amp;LEFT(N$2,2)*1,N$2),Data!$K$3:$K$149,$B35)</f>
      </c>
      <c r="O35" s="466">
        <f>IFERROR(1/O$3,1)*SUMIFS(Data!$AD$3:$AD$149,Data!$Y$3:$Y$149,O$1,Data!$Z$3:$Z$149,IF(RIGHT(O$2,3)="YTD","&lt;="&amp;LEFT(O$2,2)*1,O$2),Data!$K$3:$K$149,$B35)</f>
      </c>
      <c r="P35" s="466">
        <f>IFERROR(1/P$3,1)*SUMIFS(Data!$AD$3:$AD$149,Data!$Y$3:$Y$149,P$1,Data!$Z$3:$Z$149,IF(RIGHT(P$2,3)="YTD","&lt;="&amp;LEFT(P$2,2)*1,P$2),Data!$K$3:$K$149,$B35)</f>
      </c>
      <c r="Q35" s="466">
        <f>IFERROR(1/Q$3,1)*SUMIFS(Data!$AD$3:$AD$149,Data!$Y$3:$Y$149,Q$1,Data!$Z$3:$Z$149,IF(RIGHT(Q$2,3)="YTD","&lt;="&amp;LEFT(Q$2,2)*1,Q$2),Data!$K$3:$K$149,$B35)</f>
      </c>
      <c r="R35" s="466">
        <f>IFERROR(1/R$3,1)*SUMIFS(Data!$AD$3:$AD$149,Data!$Y$3:$Y$149,R$1,Data!$Z$3:$Z$149,IF(RIGHT(R$2,3)="YTD","&lt;="&amp;LEFT(R$2,2)*1,R$2),Data!$K$3:$K$149,$B35)</f>
      </c>
      <c r="S35" s="466">
        <f>IFERROR(1/S$3,1)*SUMIFS(Data!$AD$3:$AD$149,Data!$Y$3:$Y$149,S$1,Data!$Z$3:$Z$149,IF(RIGHT(S$2,3)="YTD","&lt;="&amp;LEFT(S$2,2)*1,S$2),Data!$K$3:$K$149,$B35)</f>
      </c>
      <c r="T35" s="466">
        <f>IFERROR(1/T$3,1)*SUMIFS(Data!$AD$3:$AD$149,Data!$Y$3:$Y$149,T$1,Data!$Z$3:$Z$149,IF(RIGHT(T$2,3)="YTD","&lt;="&amp;LEFT(T$2,2)*1,T$2),Data!$K$3:$K$149,$B35)</f>
      </c>
      <c r="U35" s="3"/>
      <c r="V35" s="466">
        <f>'Reporting 2021'!M46</f>
      </c>
      <c r="W35" s="466">
        <f>'Reporting 2021'!N46</f>
      </c>
      <c r="X35" s="466">
        <f>IFERROR(1/X$3,1)*SUMIFS(Data!$AD$3:$AD$149,Data!$Y$3:$Y$149,X$1,Data!$Z$3:$Z$149,IF(RIGHT(X$2,3)="YTD","&lt;="&amp;LEFT(X$2,2)*1,X$2),Data!$K$3:$K$149,$B35)</f>
      </c>
      <c r="Y35" s="466">
        <v>27271.5</v>
      </c>
      <c r="Z35" s="466">
        <v>12588.5</v>
      </c>
      <c r="AA35" s="466">
        <f>$G35</f>
      </c>
      <c r="AB35" s="466">
        <f>$G35</f>
      </c>
      <c r="AC35" s="466">
        <f>$G35</f>
      </c>
      <c r="AD35" s="466"/>
      <c r="AE35" s="466">
        <f>IFERROR(1/AE$3,1)*SUMIFS(Data!$AD$3:$AD$137,Data!$Y$3:$Y$137,AE$1,Data!$Z$3:$Z$137,IF(RIGHT(AE$2,3)="YTD","&lt;="&amp;LEFT(AE$2,2)*1,AE$2),Data!$K$3:$K$137,$B16)</f>
      </c>
      <c r="AF35" s="466">
        <f>AJ35/12*$C$5</f>
      </c>
      <c r="AG35" s="467">
        <f>AE35-AF35</f>
      </c>
      <c r="AH35" s="3"/>
      <c r="AI35" s="466">
        <v>130576</v>
      </c>
      <c r="AJ35" s="466">
        <v>250000</v>
      </c>
      <c r="AK35" s="3"/>
      <c r="AL35" s="3"/>
      <c r="AM35" s="3"/>
      <c r="AN35" s="3"/>
      <c r="AO35" s="3"/>
      <c r="AP35" s="3"/>
      <c r="AQ35" s="3"/>
      <c r="AR35" s="3"/>
    </row>
    <row x14ac:dyDescent="0.25" r="36" customHeight="1" ht="19.5">
      <c r="A36" s="3" t="s">
        <v>549</v>
      </c>
      <c r="B36" s="478" t="s">
        <v>550</v>
      </c>
      <c r="C36" s="468" t="s">
        <v>535</v>
      </c>
      <c r="D36" s="3"/>
      <c r="E36" s="466">
        <f>$AI36/E$3</f>
      </c>
      <c r="F36" s="466">
        <f>IFERROR(1/F$3,1)*SUMIFS(Data!$AD$3:$AD$137,Data!$Y$3:$Y$137,F$1,Data!$Z$3:$Z$137,IF(RIGHT(F$2,3)="YTD","&lt;="&amp;LEFT(F$2,2)*1,F$2),Data!$K$3:$K$137,$B36)</f>
      </c>
      <c r="G36" s="466">
        <f>AJ36/12</f>
      </c>
      <c r="H36" s="476"/>
      <c r="I36" s="466">
        <f>'Reporting 2021'!I47</f>
      </c>
      <c r="J36" s="466">
        <f>'Reporting 2021'!J47</f>
      </c>
      <c r="K36" s="466">
        <f>'Reporting 2021'!K47</f>
      </c>
      <c r="L36" s="466">
        <f>'Reporting 2021'!L47</f>
      </c>
      <c r="M36" s="466">
        <f>IFERROR(1/M$3,1)*SUMIFS(Data!$AD$3:$AD$149,Data!$Y$3:$Y$149,M$1,Data!$Z$3:$Z$149,IF(RIGHT(M$2,3)="YTD","&lt;="&amp;LEFT(M$2,2)*1,M$2),Data!$K$3:$K$149,$B36)</f>
      </c>
      <c r="N36" s="466">
        <f>IFERROR(1/N$3,1)*SUMIFS(Data!$AD$3:$AD$149,Data!$Y$3:$Y$149,N$1,Data!$Z$3:$Z$149,IF(RIGHT(N$2,3)="YTD","&lt;="&amp;LEFT(N$2,2)*1,N$2),Data!$K$3:$K$149,$B36)</f>
      </c>
      <c r="O36" s="466">
        <f>IFERROR(1/O$3,1)*SUMIFS(Data!$AD$3:$AD$149,Data!$Y$3:$Y$149,O$1,Data!$Z$3:$Z$149,IF(RIGHT(O$2,3)="YTD","&lt;="&amp;LEFT(O$2,2)*1,O$2),Data!$K$3:$K$149,$B36)</f>
      </c>
      <c r="P36" s="466">
        <f>IFERROR(1/P$3,1)*SUMIFS(Data!$AD$3:$AD$149,Data!$Y$3:$Y$149,P$1,Data!$Z$3:$Z$149,IF(RIGHT(P$2,3)="YTD","&lt;="&amp;LEFT(P$2,2)*1,P$2),Data!$K$3:$K$149,$B36)</f>
      </c>
      <c r="Q36" s="466">
        <f>IFERROR(1/Q$3,1)*SUMIFS(Data!$AD$3:$AD$149,Data!$Y$3:$Y$149,Q$1,Data!$Z$3:$Z$149,IF(RIGHT(Q$2,3)="YTD","&lt;="&amp;LEFT(Q$2,2)*1,Q$2),Data!$K$3:$K$149,$B36)</f>
      </c>
      <c r="R36" s="466">
        <f>IFERROR(1/R$3,1)*SUMIFS(Data!$AD$3:$AD$149,Data!$Y$3:$Y$149,R$1,Data!$Z$3:$Z$149,IF(RIGHT(R$2,3)="YTD","&lt;="&amp;LEFT(R$2,2)*1,R$2),Data!$K$3:$K$149,$B36)</f>
      </c>
      <c r="S36" s="466">
        <f>IFERROR(1/S$3,1)*SUMIFS(Data!$AD$3:$AD$149,Data!$Y$3:$Y$149,S$1,Data!$Z$3:$Z$149,IF(RIGHT(S$2,3)="YTD","&lt;="&amp;LEFT(S$2,2)*1,S$2),Data!$K$3:$K$149,$B36)</f>
      </c>
      <c r="T36" s="466">
        <f>IFERROR(1/T$3,1)*SUMIFS(Data!$AD$3:$AD$149,Data!$Y$3:$Y$149,T$1,Data!$Z$3:$Z$149,IF(RIGHT(T$2,3)="YTD","&lt;="&amp;LEFT(T$2,2)*1,T$2),Data!$K$3:$K$149,$B36)</f>
      </c>
      <c r="U36" s="3"/>
      <c r="V36" s="466">
        <f>'Reporting 2021'!M47</f>
      </c>
      <c r="W36" s="466">
        <f>'Reporting 2021'!N47</f>
      </c>
      <c r="X36" s="466">
        <f>IFERROR(1/X$3,1)*SUMIFS(Data!$AD$3:$AD$149,Data!$Y$3:$Y$149,X$1,Data!$Z$3:$Z$149,IF(RIGHT(X$2,3)="YTD","&lt;="&amp;LEFT(X$2,2)*1,X$2),Data!$K$3:$K$149,$B36)</f>
      </c>
      <c r="Y36" s="466">
        <v>0</v>
      </c>
      <c r="Z36" s="466">
        <v>40.5</v>
      </c>
      <c r="AA36" s="466">
        <f>$G36</f>
      </c>
      <c r="AB36" s="466">
        <f>$G36</f>
      </c>
      <c r="AC36" s="466">
        <f>$G36</f>
      </c>
      <c r="AD36" s="466"/>
      <c r="AE36" s="466">
        <f>IFERROR(1/AE$3,1)*SUMIFS(Data!$AD$3:$AD$137,Data!$Y$3:$Y$137,AE$1,Data!$Z$3:$Z$137,IF(RIGHT(AE$2,3)="YTD","&lt;="&amp;LEFT(AE$2,2)*1,AE$2),Data!$K$3:$K$137,$B17)</f>
      </c>
      <c r="AF36" s="466">
        <f>AJ36/12*$C$5</f>
      </c>
      <c r="AG36" s="467">
        <f>AE36-AF36</f>
      </c>
      <c r="AH36" s="3"/>
      <c r="AI36" s="466">
        <v>8904</v>
      </c>
      <c r="AJ36" s="466">
        <v>0</v>
      </c>
      <c r="AK36" s="3"/>
      <c r="AL36" s="3"/>
      <c r="AM36" s="3"/>
      <c r="AN36" s="3"/>
      <c r="AO36" s="3"/>
      <c r="AP36" s="3"/>
      <c r="AQ36" s="3"/>
      <c r="AR36" s="3"/>
    </row>
    <row x14ac:dyDescent="0.25" r="37" customHeight="1" ht="19.5">
      <c r="A37" s="3"/>
      <c r="B37" s="478" t="s">
        <v>551</v>
      </c>
      <c r="C37" s="468" t="s">
        <v>535</v>
      </c>
      <c r="D37" s="3"/>
      <c r="E37" s="466">
        <f>$AI37/E$3</f>
      </c>
      <c r="F37" s="466">
        <f>IFERROR(1/F$3,1)*SUMIFS(Data!$AD$3:$AD$137,Data!$Y$3:$Y$137,F$1,Data!$Z$3:$Z$137,IF(RIGHT(F$2,3)="YTD","&lt;="&amp;LEFT(F$2,2)*1,F$2),Data!$K$3:$K$137,$B37)</f>
      </c>
      <c r="G37" s="466">
        <f>AJ37/12</f>
      </c>
      <c r="H37" s="476"/>
      <c r="I37" s="466">
        <f>'Reporting 2021'!I48</f>
      </c>
      <c r="J37" s="466">
        <f>'Reporting 2021'!J48</f>
      </c>
      <c r="K37" s="466">
        <f>'Reporting 2021'!K48</f>
      </c>
      <c r="L37" s="466">
        <f>'Reporting 2021'!L48</f>
      </c>
      <c r="M37" s="466">
        <f>IFERROR(1/M$3,1)*SUMIFS(Data!$AD$3:$AD$149,Data!$Y$3:$Y$149,M$1,Data!$Z$3:$Z$149,IF(RIGHT(M$2,3)="YTD","&lt;="&amp;LEFT(M$2,2)*1,M$2),Data!$K$3:$K$149,$B37)</f>
      </c>
      <c r="N37" s="466">
        <f>IFERROR(1/N$3,1)*SUMIFS(Data!$AD$3:$AD$149,Data!$Y$3:$Y$149,N$1,Data!$Z$3:$Z$149,IF(RIGHT(N$2,3)="YTD","&lt;="&amp;LEFT(N$2,2)*1,N$2),Data!$K$3:$K$149,$B37)</f>
      </c>
      <c r="O37" s="466">
        <f>IFERROR(1/O$3,1)*SUMIFS(Data!$AD$3:$AD$149,Data!$Y$3:$Y$149,O$1,Data!$Z$3:$Z$149,IF(RIGHT(O$2,3)="YTD","&lt;="&amp;LEFT(O$2,2)*1,O$2),Data!$K$3:$K$149,$B37)</f>
      </c>
      <c r="P37" s="466">
        <f>IFERROR(1/P$3,1)*SUMIFS(Data!$AD$3:$AD$149,Data!$Y$3:$Y$149,P$1,Data!$Z$3:$Z$149,IF(RIGHT(P$2,3)="YTD","&lt;="&amp;LEFT(P$2,2)*1,P$2),Data!$K$3:$K$149,$B37)</f>
      </c>
      <c r="Q37" s="466">
        <f>IFERROR(1/Q$3,1)*SUMIFS(Data!$AD$3:$AD$149,Data!$Y$3:$Y$149,Q$1,Data!$Z$3:$Z$149,IF(RIGHT(Q$2,3)="YTD","&lt;="&amp;LEFT(Q$2,2)*1,Q$2),Data!$K$3:$K$149,$B37)</f>
      </c>
      <c r="R37" s="466">
        <f>IFERROR(1/R$3,1)*SUMIFS(Data!$AD$3:$AD$149,Data!$Y$3:$Y$149,R$1,Data!$Z$3:$Z$149,IF(RIGHT(R$2,3)="YTD","&lt;="&amp;LEFT(R$2,2)*1,R$2),Data!$K$3:$K$149,$B37)</f>
      </c>
      <c r="S37" s="466">
        <f>IFERROR(1/S$3,1)*SUMIFS(Data!$AD$3:$AD$149,Data!$Y$3:$Y$149,S$1,Data!$Z$3:$Z$149,IF(RIGHT(S$2,3)="YTD","&lt;="&amp;LEFT(S$2,2)*1,S$2),Data!$K$3:$K$149,$B37)</f>
      </c>
      <c r="T37" s="466">
        <f>IFERROR(1/T$3,1)*SUMIFS(Data!$AD$3:$AD$149,Data!$Y$3:$Y$149,T$1,Data!$Z$3:$Z$149,IF(RIGHT(T$2,3)="YTD","&lt;="&amp;LEFT(T$2,2)*1,T$2),Data!$K$3:$K$149,$B37)</f>
      </c>
      <c r="U37" s="3"/>
      <c r="V37" s="466">
        <f>'Reporting 2021'!M48</f>
      </c>
      <c r="W37" s="466">
        <f>'Reporting 2021'!N48</f>
      </c>
      <c r="X37" s="466">
        <f>IFERROR(1/X$3,1)*SUMIFS(Data!$AD$3:$AD$149,Data!$Y$3:$Y$149,X$1,Data!$Z$3:$Z$149,IF(RIGHT(X$2,3)="YTD","&lt;="&amp;LEFT(X$2,2)*1,X$2),Data!$K$3:$K$149,$B37)</f>
      </c>
      <c r="Y37" s="466">
        <v>0</v>
      </c>
      <c r="Z37" s="466">
        <v>0</v>
      </c>
      <c r="AA37" s="466">
        <f>$G37</f>
      </c>
      <c r="AB37" s="466">
        <f>$G37</f>
      </c>
      <c r="AC37" s="466">
        <f>$G37</f>
      </c>
      <c r="AD37" s="466"/>
      <c r="AE37" s="466">
        <f>IFERROR(1/AE$3,1)*SUMIFS(Data!$AD$3:$AD$137,Data!$Y$3:$Y$137,AE$1,Data!$Z$3:$Z$137,IF(RIGHT(AE$2,3)="YTD","&lt;="&amp;LEFT(AE$2,2)*1,AE$2),Data!$K$3:$K$137,$B18)</f>
      </c>
      <c r="AF37" s="466">
        <f>AJ37/12*$C$5</f>
      </c>
      <c r="AG37" s="467">
        <f>AE37-AF37</f>
      </c>
      <c r="AH37" s="3"/>
      <c r="AI37" s="466">
        <v>271320</v>
      </c>
      <c r="AJ37" s="466">
        <v>0</v>
      </c>
      <c r="AK37" s="3"/>
      <c r="AL37" s="3"/>
      <c r="AM37" s="3"/>
      <c r="AN37" s="3"/>
      <c r="AO37" s="3"/>
      <c r="AP37" s="3"/>
      <c r="AQ37" s="3"/>
      <c r="AR37" s="3"/>
    </row>
    <row x14ac:dyDescent="0.25" r="38" customHeight="1" ht="19.5">
      <c r="A38" s="3"/>
      <c r="B38" s="41" t="s">
        <v>552</v>
      </c>
      <c r="C38" s="468" t="s">
        <v>535</v>
      </c>
      <c r="D38" s="3"/>
      <c r="E38" s="469"/>
      <c r="F38" s="469"/>
      <c r="G38" s="466"/>
      <c r="H38" s="476"/>
      <c r="I38" s="469">
        <f>SUM(I28:I37)</f>
      </c>
      <c r="J38" s="469">
        <f>SUM(J28:J37)</f>
      </c>
      <c r="K38" s="469">
        <f>SUM(K28:K37)</f>
      </c>
      <c r="L38" s="469">
        <f>SUM(L28:L37)</f>
      </c>
      <c r="M38" s="469">
        <f>SUM(M28:M37)</f>
      </c>
      <c r="N38" s="469">
        <f>SUM(N28:N37)</f>
      </c>
      <c r="O38" s="469">
        <f>SUM(O28:O37)</f>
      </c>
      <c r="P38" s="469">
        <f>SUM(P28:P37)</f>
      </c>
      <c r="Q38" s="469">
        <f>SUM(Q28:Q37)</f>
      </c>
      <c r="R38" s="469">
        <f>SUM(R28:R37)</f>
      </c>
      <c r="S38" s="469">
        <f>SUM(S28:S37)</f>
      </c>
      <c r="T38" s="469">
        <f>SUM(T28:T37)</f>
      </c>
      <c r="U38" s="469">
        <f>SUM(U28:U37)</f>
      </c>
      <c r="V38" s="469">
        <f>SUM(V28:V37)</f>
      </c>
      <c r="W38" s="469">
        <f>SUM(W28:W37)</f>
      </c>
      <c r="X38" s="469">
        <f>SUM(X28:X37)</f>
      </c>
      <c r="Y38" s="469">
        <v>27271.5</v>
      </c>
      <c r="Z38" s="469">
        <v>17399</v>
      </c>
      <c r="AA38" s="469"/>
      <c r="AB38" s="469"/>
      <c r="AC38" s="469"/>
      <c r="AD38" s="469"/>
      <c r="AE38" s="469">
        <f>SUM(AE28:AE37)</f>
      </c>
      <c r="AF38" s="469">
        <f>SUM(AF28:AF37)</f>
      </c>
      <c r="AG38" s="469">
        <f>SUM(AG28:AG37)</f>
      </c>
      <c r="AH38" s="3"/>
      <c r="AI38" s="469">
        <v>1606577.5</v>
      </c>
      <c r="AJ38" s="469">
        <f>SUM(AJ28:AJ37)</f>
      </c>
      <c r="AK38" s="3"/>
      <c r="AL38" s="3"/>
      <c r="AM38" s="3"/>
      <c r="AN38" s="3"/>
      <c r="AO38" s="3"/>
      <c r="AP38" s="3"/>
      <c r="AQ38" s="3"/>
      <c r="AR38" s="3"/>
    </row>
    <row x14ac:dyDescent="0.25" r="39" customHeight="1" ht="19.5">
      <c r="A39" s="3"/>
      <c r="B39" s="470" t="s">
        <v>553</v>
      </c>
      <c r="C39" s="468" t="s">
        <v>535</v>
      </c>
      <c r="D39" s="3"/>
      <c r="E39" s="471">
        <f>$AI39/E$3</f>
      </c>
      <c r="F39" s="471">
        <f>SUM(I39:T39)/LEFT($F$2,2)</f>
      </c>
      <c r="G39" s="471">
        <f>AJ39/12</f>
      </c>
      <c r="H39" s="476"/>
      <c r="I39" s="471">
        <f>'Reporting 2021'!I50</f>
      </c>
      <c r="J39" s="471">
        <f>'Reporting 2021'!J50</f>
      </c>
      <c r="K39" s="471">
        <f>'Reporting 2021'!K50</f>
      </c>
      <c r="L39" s="471">
        <f>'Reporting 2021'!L50</f>
      </c>
      <c r="M39" s="471">
        <f>Reporting!G74</f>
      </c>
      <c r="N39" s="479">
        <f>Reporting!H74</f>
      </c>
      <c r="O39" s="479">
        <f>Reporting!I74</f>
      </c>
      <c r="P39" s="479">
        <f>Reporting!J74</f>
      </c>
      <c r="Q39" s="479">
        <f>Reporting!K74</f>
      </c>
      <c r="R39" s="479">
        <f>Reporting!L74</f>
      </c>
      <c r="S39" s="479">
        <f>Reporting!M74</f>
      </c>
      <c r="T39" s="479">
        <f>Reporting!N74</f>
      </c>
      <c r="U39" s="3"/>
      <c r="V39" s="471">
        <f>'Reporting 2021'!M50</f>
      </c>
      <c r="W39" s="471">
        <f>'Reporting 2021'!N50</f>
      </c>
      <c r="X39" s="479">
        <f>Reporting!R75</f>
      </c>
      <c r="Y39" s="471">
        <v>527830</v>
      </c>
      <c r="Z39" s="471">
        <v>178647</v>
      </c>
      <c r="AA39" s="471">
        <f>AJ39/12</f>
      </c>
      <c r="AB39" s="471">
        <f>AJ39/12</f>
      </c>
      <c r="AC39" s="471">
        <f>Y39</f>
      </c>
      <c r="AD39" s="471"/>
      <c r="AE39" s="471">
        <f>SUM(I39:T39)</f>
      </c>
      <c r="AF39" s="471">
        <f>AJ39/12*$C$5</f>
      </c>
      <c r="AG39" s="472"/>
      <c r="AH39" s="3"/>
      <c r="AI39" s="471">
        <v>2943191.83</v>
      </c>
      <c r="AJ39" s="471">
        <v>6630000</v>
      </c>
      <c r="AK39" s="3"/>
      <c r="AL39" s="3"/>
      <c r="AM39" s="3"/>
      <c r="AN39" s="3"/>
      <c r="AO39" s="3"/>
      <c r="AP39" s="3"/>
      <c r="AQ39" s="3"/>
      <c r="AR39" s="3"/>
    </row>
    <row x14ac:dyDescent="0.25" r="40" customHeight="1" ht="19.5">
      <c r="A40" s="3"/>
      <c r="B40" s="41" t="s">
        <v>554</v>
      </c>
      <c r="C40" s="468" t="s">
        <v>535</v>
      </c>
      <c r="D40" s="3"/>
      <c r="E40" s="469"/>
      <c r="F40" s="469"/>
      <c r="G40" s="466"/>
      <c r="H40" s="476"/>
      <c r="I40" s="469">
        <f>I38+I39</f>
      </c>
      <c r="J40" s="469">
        <f>J38+J39</f>
      </c>
      <c r="K40" s="469">
        <f>K38+K39</f>
      </c>
      <c r="L40" s="469">
        <f>L38+L39</f>
      </c>
      <c r="M40" s="469">
        <f>M38+M39</f>
      </c>
      <c r="N40" s="469">
        <f>N38+N39</f>
      </c>
      <c r="O40" s="469">
        <f>O38+O39</f>
      </c>
      <c r="P40" s="469">
        <f>P38+P39</f>
      </c>
      <c r="Q40" s="469">
        <f>Q38+Q39</f>
      </c>
      <c r="R40" s="469">
        <f>R38+R39</f>
      </c>
      <c r="S40" s="469">
        <f>S38+S39</f>
      </c>
      <c r="T40" s="469">
        <f>T38+T39</f>
      </c>
      <c r="U40" s="469">
        <f>U38+U39</f>
      </c>
      <c r="V40" s="469">
        <f>V38+V39</f>
      </c>
      <c r="W40" s="469">
        <f>W38+W39</f>
      </c>
      <c r="X40" s="469">
        <f>X38+X39</f>
      </c>
      <c r="Y40" s="469">
        <f>Y39+Y38</f>
      </c>
      <c r="Z40" s="469">
        <f>Z39+Z38</f>
      </c>
      <c r="AA40" s="469">
        <f>AA39+AA38</f>
      </c>
      <c r="AB40" s="469">
        <f>AB39+AB38</f>
      </c>
      <c r="AC40" s="469">
        <f>AC39+AC38</f>
      </c>
      <c r="AD40" s="469">
        <f>AD39+AD38</f>
      </c>
      <c r="AE40" s="469">
        <f>AE39+AE38</f>
      </c>
      <c r="AF40" s="469">
        <f>AF39+AF38</f>
      </c>
      <c r="AG40" s="469">
        <f>AG39+AG38</f>
      </c>
      <c r="AH40" s="469">
        <f>AH39+AH38</f>
      </c>
      <c r="AI40" s="469">
        <f>AI39+AI38</f>
      </c>
      <c r="AJ40" s="469">
        <f>AJ39+AJ38</f>
      </c>
      <c r="AK40" s="478"/>
      <c r="AL40" s="478"/>
      <c r="AM40" s="478"/>
      <c r="AN40" s="478"/>
      <c r="AO40" s="478"/>
      <c r="AP40" s="478"/>
      <c r="AQ40" s="478"/>
      <c r="AR40" s="478"/>
    </row>
    <row x14ac:dyDescent="0.25" r="41" customHeight="1" ht="19.5">
      <c r="A41" s="3"/>
      <c r="B41" s="41" t="s">
        <v>562</v>
      </c>
      <c r="C41" s="468"/>
      <c r="D41" s="3"/>
      <c r="E41" s="469"/>
      <c r="F41" s="469"/>
      <c r="G41" s="466"/>
      <c r="H41" s="476"/>
      <c r="I41" s="469">
        <f>I40</f>
      </c>
      <c r="J41" s="469">
        <f>I41+J40</f>
      </c>
      <c r="K41" s="469">
        <f>K40+J41</f>
      </c>
      <c r="L41" s="469">
        <f>L40+K41</f>
      </c>
      <c r="M41" s="469"/>
      <c r="N41" s="477"/>
      <c r="O41" s="477"/>
      <c r="P41" s="477"/>
      <c r="Q41" s="477"/>
      <c r="R41" s="477"/>
      <c r="S41" s="477"/>
      <c r="T41" s="477"/>
      <c r="U41" s="3"/>
      <c r="V41" s="469">
        <f>L41+V40</f>
      </c>
      <c r="W41" s="469">
        <f>V41+W40</f>
      </c>
      <c r="X41" s="469">
        <f>W41+X40</f>
      </c>
      <c r="Y41" s="469">
        <f>X41+Y40</f>
      </c>
      <c r="Z41" s="469">
        <f>Y41+Z40</f>
      </c>
      <c r="AA41" s="469">
        <f>Z41+AA40</f>
      </c>
      <c r="AB41" s="469"/>
      <c r="AC41" s="469"/>
      <c r="AD41" s="469"/>
      <c r="AE41" s="469"/>
      <c r="AF41" s="469"/>
      <c r="AG41" s="473"/>
      <c r="AH41" s="3"/>
      <c r="AI41" s="469"/>
      <c r="AJ41" s="469"/>
      <c r="AK41" s="478"/>
      <c r="AL41" s="478"/>
      <c r="AM41" s="478"/>
      <c r="AN41" s="478"/>
      <c r="AO41" s="478"/>
      <c r="AP41" s="478"/>
      <c r="AQ41" s="478"/>
      <c r="AR41" s="478"/>
    </row>
    <row x14ac:dyDescent="0.25" r="42" customHeight="1" ht="19.5">
      <c r="A42" s="3"/>
      <c r="B42" s="41" t="s">
        <v>556</v>
      </c>
      <c r="C42" s="468"/>
      <c r="D42" s="3"/>
      <c r="E42" s="469"/>
      <c r="F42" s="469"/>
      <c r="G42" s="466"/>
      <c r="H42" s="476"/>
      <c r="I42" s="469">
        <f>(AJ39+AJ38)/12</f>
      </c>
      <c r="J42" s="469">
        <f>I42*2</f>
      </c>
      <c r="K42" s="469">
        <f>I42*3</f>
      </c>
      <c r="L42" s="469">
        <f>I42*4</f>
      </c>
      <c r="M42" s="469">
        <f>(AN39+AN38)/12</f>
      </c>
      <c r="N42" s="469">
        <f>(AO39+AO38)/12</f>
      </c>
      <c r="O42" s="469">
        <f>(AP39+AP38)/12</f>
      </c>
      <c r="P42" s="469">
        <f>(AQ39+AQ38)/12</f>
      </c>
      <c r="Q42" s="469">
        <f>(AR39+AR38)/12</f>
      </c>
      <c r="R42" s="469">
        <f>(AS39+AS38)/12</f>
      </c>
      <c r="S42" s="469">
        <f>(AT39+AT38)/12</f>
      </c>
      <c r="T42" s="469">
        <f>(AU39+AU38)/12</f>
      </c>
      <c r="U42" s="469">
        <f>(AV39+AV38)/12</f>
      </c>
      <c r="V42" s="469">
        <f>I42*5</f>
      </c>
      <c r="W42" s="469">
        <f>I42*6</f>
      </c>
      <c r="X42" s="469">
        <f>I42*7</f>
      </c>
      <c r="Y42" s="469">
        <f>I42*8</f>
      </c>
      <c r="Z42" s="469">
        <f>I42*9</f>
      </c>
      <c r="AA42" s="469">
        <f>I42*10</f>
      </c>
      <c r="AB42" s="469">
        <f>I42*11</f>
      </c>
      <c r="AC42" s="469">
        <f>I42*12</f>
      </c>
      <c r="AD42" s="469"/>
      <c r="AE42" s="469"/>
      <c r="AF42" s="469"/>
      <c r="AG42" s="473"/>
      <c r="AH42" s="3"/>
      <c r="AI42" s="469"/>
      <c r="AJ42" s="469"/>
      <c r="AK42" s="478"/>
      <c r="AL42" s="478"/>
      <c r="AM42" s="478"/>
      <c r="AN42" s="478"/>
      <c r="AO42" s="478"/>
      <c r="AP42" s="478"/>
      <c r="AQ42" s="478"/>
      <c r="AR42" s="478"/>
    </row>
    <row x14ac:dyDescent="0.25" r="43" customHeight="1" ht="19.5">
      <c r="A43" s="3"/>
      <c r="B43" s="41"/>
      <c r="C43" s="468"/>
      <c r="D43" s="3"/>
      <c r="E43" s="469"/>
      <c r="F43" s="469"/>
      <c r="G43" s="466"/>
      <c r="H43" s="476"/>
      <c r="I43" s="469"/>
      <c r="J43" s="469"/>
      <c r="K43" s="469"/>
      <c r="L43" s="469"/>
      <c r="M43" s="469"/>
      <c r="N43" s="477"/>
      <c r="O43" s="477"/>
      <c r="P43" s="477"/>
      <c r="Q43" s="477"/>
      <c r="R43" s="477"/>
      <c r="S43" s="477"/>
      <c r="T43" s="477"/>
      <c r="U43" s="3"/>
      <c r="V43" s="469"/>
      <c r="W43" s="469"/>
      <c r="X43" s="469"/>
      <c r="Y43" s="469"/>
      <c r="Z43" s="469"/>
      <c r="AA43" s="469"/>
      <c r="AB43" s="469"/>
      <c r="AC43" s="469"/>
      <c r="AD43" s="469"/>
      <c r="AE43" s="469"/>
      <c r="AF43" s="469"/>
      <c r="AG43" s="473"/>
      <c r="AH43" s="3"/>
      <c r="AI43" s="469"/>
      <c r="AJ43" s="469"/>
      <c r="AK43" s="478"/>
      <c r="AL43" s="478"/>
      <c r="AM43" s="478"/>
      <c r="AN43" s="478"/>
      <c r="AO43" s="478"/>
      <c r="AP43" s="478"/>
      <c r="AQ43" s="478"/>
      <c r="AR43" s="478"/>
    </row>
    <row x14ac:dyDescent="0.25" r="44" customHeight="1" ht="19.5">
      <c r="A44" s="3"/>
      <c r="B44" s="198"/>
      <c r="C44" s="30"/>
      <c r="D44" s="3"/>
      <c r="E44" s="475"/>
      <c r="F44" s="475"/>
      <c r="G44" s="475"/>
      <c r="H44" s="3"/>
      <c r="I44" s="475"/>
      <c r="J44" s="475"/>
      <c r="K44" s="475"/>
      <c r="L44" s="475"/>
      <c r="M44" s="475"/>
      <c r="N44" s="475"/>
      <c r="O44" s="475"/>
      <c r="P44" s="475"/>
      <c r="Q44" s="475"/>
      <c r="R44" s="475"/>
      <c r="S44" s="475"/>
      <c r="T44" s="475"/>
      <c r="U44" s="3"/>
      <c r="V44" s="475"/>
      <c r="W44" s="475"/>
      <c r="X44" s="475"/>
      <c r="Y44" s="475"/>
      <c r="Z44" s="475"/>
      <c r="AA44" s="475"/>
      <c r="AB44" s="475"/>
      <c r="AC44" s="443"/>
      <c r="AD44" s="443"/>
      <c r="AE44" s="443"/>
      <c r="AF44" s="443"/>
      <c r="AG44" s="440"/>
      <c r="AH44" s="3"/>
      <c r="AI44" s="480"/>
      <c r="AJ44" s="441"/>
      <c r="AK44" s="3"/>
      <c r="AL44" s="3"/>
      <c r="AM44" s="3"/>
      <c r="AN44" s="3"/>
      <c r="AO44" s="3"/>
      <c r="AP44" s="3"/>
      <c r="AQ44" s="3"/>
      <c r="AR44" s="3"/>
    </row>
    <row x14ac:dyDescent="0.25" r="45" customHeight="1" ht="19.5">
      <c r="A45" s="3"/>
      <c r="B45" s="442"/>
      <c r="C45" s="468"/>
      <c r="D45" s="41"/>
      <c r="E45" s="445" t="s">
        <v>513</v>
      </c>
      <c r="F45" s="446" t="s">
        <v>514</v>
      </c>
      <c r="G45" s="447" t="s">
        <v>514</v>
      </c>
      <c r="H45" s="3"/>
      <c r="I45" s="448">
        <f>TEXT(I$2,"00")&amp;" "&amp;I$1</f>
      </c>
      <c r="J45" s="448">
        <f>TEXT(J$2,"00")&amp;" "&amp;J$1</f>
      </c>
      <c r="K45" s="448">
        <f>TEXT(K$2,"00")&amp;" "&amp;K$1</f>
      </c>
      <c r="L45" s="448">
        <f>TEXT(L$2,"00")&amp;" "&amp;L$1</f>
      </c>
      <c r="M45" s="448">
        <f>TEXT(M$2,"00")&amp;" "&amp;M$1</f>
      </c>
      <c r="N45" s="448">
        <f>TEXT(N$2,"00")&amp;" "&amp;N$1</f>
      </c>
      <c r="O45" s="448">
        <f>TEXT(O$2,"00")&amp;" "&amp;O$1</f>
      </c>
      <c r="P45" s="448">
        <f>TEXT(P$2,"00")&amp;" "&amp;P$1</f>
      </c>
      <c r="Q45" s="448">
        <f>TEXT(Q$2,"00")&amp;" "&amp;Q$1</f>
      </c>
      <c r="R45" s="448">
        <f>TEXT(R$2,"00")&amp;" "&amp;R$1</f>
      </c>
      <c r="S45" s="448">
        <f>TEXT(S$2,"00")&amp;" "&amp;S$1</f>
      </c>
      <c r="T45" s="448">
        <f>TEXT(T$2,"00")&amp;" "&amp;T$1</f>
      </c>
      <c r="U45" s="3"/>
      <c r="V45" s="450" t="s">
        <v>522</v>
      </c>
      <c r="W45" s="450" t="s">
        <v>523</v>
      </c>
      <c r="X45" s="450" t="s">
        <v>524</v>
      </c>
      <c r="Y45" s="450" t="s">
        <v>525</v>
      </c>
      <c r="Z45" s="450" t="s">
        <v>526</v>
      </c>
      <c r="AA45" s="451" t="s">
        <v>519</v>
      </c>
      <c r="AB45" s="452" t="s">
        <v>520</v>
      </c>
      <c r="AC45" s="452" t="s">
        <v>521</v>
      </c>
      <c r="AD45" s="481"/>
      <c r="AE45" s="448">
        <f>AE$2&amp;" "&amp;AE$1</f>
      </c>
      <c r="AF45" s="454">
        <f>AF$2&amp;" "&amp;AF$1</f>
      </c>
      <c r="AG45" s="455">
        <f>AG$2&amp;" "&amp;AG$1</f>
      </c>
      <c r="AH45" s="3"/>
      <c r="AI45" s="456">
        <f>AI$2&amp;" "&amp;AI$1</f>
      </c>
      <c r="AJ45" s="454">
        <f>AJ$2&amp;" "&amp;AJ$1</f>
      </c>
      <c r="AK45" s="3"/>
      <c r="AL45" s="3"/>
      <c r="AM45" s="3"/>
      <c r="AN45" s="3"/>
      <c r="AO45" s="3"/>
      <c r="AP45" s="3"/>
      <c r="AQ45" s="3"/>
      <c r="AR45" s="3"/>
    </row>
    <row x14ac:dyDescent="0.25" r="46" customHeight="1" ht="19.5">
      <c r="A46" s="3"/>
      <c r="B46" s="442"/>
      <c r="C46" s="195"/>
      <c r="D46" s="3"/>
      <c r="E46" s="445" t="s">
        <v>40</v>
      </c>
      <c r="F46" s="446" t="s">
        <v>40</v>
      </c>
      <c r="G46" s="447" t="s">
        <v>441</v>
      </c>
      <c r="H46" s="3"/>
      <c r="I46" s="450" t="s">
        <v>40</v>
      </c>
      <c r="J46" s="450" t="s">
        <v>40</v>
      </c>
      <c r="K46" s="450" t="s">
        <v>40</v>
      </c>
      <c r="L46" s="450" t="s">
        <v>40</v>
      </c>
      <c r="M46" s="448" t="s">
        <v>40</v>
      </c>
      <c r="N46" s="448" t="s">
        <v>40</v>
      </c>
      <c r="O46" s="448" t="s">
        <v>40</v>
      </c>
      <c r="P46" s="448" t="s">
        <v>40</v>
      </c>
      <c r="Q46" s="448" t="s">
        <v>40</v>
      </c>
      <c r="R46" s="448" t="s">
        <v>40</v>
      </c>
      <c r="S46" s="448" t="s">
        <v>40</v>
      </c>
      <c r="T46" s="448" t="s">
        <v>40</v>
      </c>
      <c r="U46" s="482" t="s">
        <v>40</v>
      </c>
      <c r="V46" s="450" t="s">
        <v>40</v>
      </c>
      <c r="W46" s="450" t="s">
        <v>40</v>
      </c>
      <c r="X46" s="450" t="s">
        <v>40</v>
      </c>
      <c r="Y46" s="450" t="s">
        <v>40</v>
      </c>
      <c r="Z46" s="450" t="s">
        <v>40</v>
      </c>
      <c r="AA46" s="451" t="s">
        <v>528</v>
      </c>
      <c r="AB46" s="452" t="s">
        <v>528</v>
      </c>
      <c r="AC46" s="452" t="s">
        <v>528</v>
      </c>
      <c r="AD46" s="481"/>
      <c r="AE46" s="448" t="s">
        <v>529</v>
      </c>
      <c r="AF46" s="454" t="s">
        <v>530</v>
      </c>
      <c r="AG46" s="455" t="s">
        <v>531</v>
      </c>
      <c r="AH46" s="3"/>
      <c r="AI46" s="457" t="s">
        <v>529</v>
      </c>
      <c r="AJ46" s="458" t="s">
        <v>530</v>
      </c>
      <c r="AK46" s="3"/>
      <c r="AL46" s="3"/>
      <c r="AM46" s="3"/>
      <c r="AN46" s="3"/>
      <c r="AO46" s="3"/>
      <c r="AP46" s="3"/>
      <c r="AQ46" s="3"/>
      <c r="AR46" s="3"/>
    </row>
    <row x14ac:dyDescent="0.25" r="47" customHeight="1" ht="19.5">
      <c r="A47" s="3"/>
      <c r="B47" s="459" t="s">
        <v>563</v>
      </c>
      <c r="C47" s="3"/>
      <c r="D47" s="3"/>
      <c r="E47" s="8"/>
      <c r="F47" s="8"/>
      <c r="G47" s="8"/>
      <c r="H47" s="3"/>
      <c r="I47" s="441"/>
      <c r="J47" s="441"/>
      <c r="K47" s="441"/>
      <c r="L47" s="441"/>
      <c r="M47" s="443"/>
      <c r="N47" s="443"/>
      <c r="O47" s="443"/>
      <c r="P47" s="443"/>
      <c r="Q47" s="443"/>
      <c r="R47" s="443"/>
      <c r="S47" s="443"/>
      <c r="T47" s="443"/>
      <c r="U47" s="3"/>
      <c r="V47" s="441"/>
      <c r="W47" s="441"/>
      <c r="X47" s="441"/>
      <c r="Y47" s="441"/>
      <c r="Z47" s="441"/>
      <c r="AA47" s="441"/>
      <c r="AB47" s="443"/>
      <c r="AC47" s="443"/>
      <c r="AD47" s="443"/>
      <c r="AE47" s="443"/>
      <c r="AF47" s="443"/>
      <c r="AG47" s="440"/>
      <c r="AH47" s="3"/>
      <c r="AI47" s="441"/>
      <c r="AJ47" s="441"/>
      <c r="AK47" s="3"/>
      <c r="AL47" s="3"/>
      <c r="AM47" s="3"/>
      <c r="AN47" s="3"/>
      <c r="AO47" s="3"/>
      <c r="AP47" s="3"/>
      <c r="AQ47" s="3"/>
      <c r="AR47" s="3"/>
    </row>
    <row x14ac:dyDescent="0.25" r="48" customHeight="1" ht="19.5">
      <c r="A48" s="3"/>
      <c r="B48" s="478" t="s">
        <v>564</v>
      </c>
      <c r="C48" s="468" t="s">
        <v>565</v>
      </c>
      <c r="D48" s="3"/>
      <c r="E48" s="466"/>
      <c r="F48" s="466">
        <f>IFERROR(1/F$3,1)*SUM(I48:T48)</f>
      </c>
      <c r="G48" s="466">
        <f>AJ48/12</f>
      </c>
      <c r="H48" s="467"/>
      <c r="I48" s="466">
        <v>80.292</v>
      </c>
      <c r="J48" s="466">
        <v>75.122</v>
      </c>
      <c r="K48" s="466">
        <v>91.469</v>
      </c>
      <c r="L48" s="466">
        <v>91.489</v>
      </c>
      <c r="M48" s="466"/>
      <c r="N48" s="466"/>
      <c r="O48" s="466"/>
      <c r="P48" s="466"/>
      <c r="Q48" s="466"/>
      <c r="R48" s="466"/>
      <c r="S48" s="466"/>
      <c r="T48" s="466"/>
      <c r="U48" s="467"/>
      <c r="V48" s="466">
        <v>99.928</v>
      </c>
      <c r="W48" s="466">
        <v>96.219</v>
      </c>
      <c r="X48" s="466">
        <f>86.952</f>
      </c>
      <c r="Y48" s="466">
        <f>AJ48/12</f>
      </c>
      <c r="Z48" s="466">
        <f>AJ48/12</f>
      </c>
      <c r="AA48" s="466">
        <f>AJ48/12</f>
      </c>
      <c r="AB48" s="466">
        <f>AJ48/12</f>
      </c>
      <c r="AC48" s="466">
        <f>AJ48/12</f>
      </c>
      <c r="AD48" s="466"/>
      <c r="AE48" s="466">
        <f>SUM(I48:L48)</f>
      </c>
      <c r="AF48" s="466">
        <f>AC48*C5</f>
      </c>
      <c r="AG48" s="467"/>
      <c r="AH48" s="467"/>
      <c r="AI48" s="466">
        <f>SUM(M48:P48)</f>
      </c>
      <c r="AJ48" s="466">
        <v>1149</v>
      </c>
      <c r="AK48" s="3"/>
      <c r="AL48" s="3"/>
      <c r="AM48" s="3"/>
      <c r="AN48" s="3"/>
      <c r="AO48" s="3"/>
      <c r="AP48" s="3"/>
      <c r="AQ48" s="3"/>
      <c r="AR48" s="3"/>
    </row>
    <row x14ac:dyDescent="0.25" r="49" customHeight="1" ht="19.5">
      <c r="A49" s="3"/>
      <c r="B49" s="478" t="s">
        <v>566</v>
      </c>
      <c r="C49" s="468"/>
      <c r="D49" s="3"/>
      <c r="E49" s="466"/>
      <c r="F49" s="466"/>
      <c r="G49" s="466"/>
      <c r="H49" s="467"/>
      <c r="I49" s="466">
        <f>I48</f>
      </c>
      <c r="J49" s="466">
        <f>J48+I49</f>
      </c>
      <c r="K49" s="466">
        <f>K48+J49</f>
      </c>
      <c r="L49" s="466">
        <f>L48+K49</f>
      </c>
      <c r="M49" s="466"/>
      <c r="N49" s="466"/>
      <c r="O49" s="466"/>
      <c r="P49" s="466"/>
      <c r="Q49" s="466"/>
      <c r="R49" s="466"/>
      <c r="S49" s="466"/>
      <c r="T49" s="466"/>
      <c r="U49" s="467"/>
      <c r="V49" s="466">
        <f>L49+V48</f>
      </c>
      <c r="W49" s="466">
        <f>V49+W48</f>
      </c>
      <c r="X49" s="466">
        <f>W49+X48</f>
      </c>
      <c r="Y49" s="466">
        <f>X49+Y48</f>
      </c>
      <c r="Z49" s="466">
        <f>Y49+Z48</f>
      </c>
      <c r="AA49" s="466">
        <f>Z49+AA48</f>
      </c>
      <c r="AB49" s="466">
        <f>AA49+AB48</f>
      </c>
      <c r="AC49" s="466">
        <f>AB49+AC48</f>
      </c>
      <c r="AD49" s="466"/>
      <c r="AE49" s="466"/>
      <c r="AF49" s="466"/>
      <c r="AG49" s="467"/>
      <c r="AH49" s="467"/>
      <c r="AI49" s="466"/>
      <c r="AJ49" s="466"/>
      <c r="AK49" s="3"/>
      <c r="AL49" s="3"/>
      <c r="AM49" s="3"/>
      <c r="AN49" s="3"/>
      <c r="AO49" s="3"/>
      <c r="AP49" s="3"/>
      <c r="AQ49" s="3"/>
      <c r="AR49" s="3"/>
    </row>
    <row x14ac:dyDescent="0.25" r="50" customHeight="1" ht="19.5">
      <c r="A50" s="3"/>
      <c r="B50" s="478" t="s">
        <v>567</v>
      </c>
      <c r="C50" s="468" t="s">
        <v>565</v>
      </c>
      <c r="D50" s="3"/>
      <c r="E50" s="466"/>
      <c r="F50" s="466">
        <f>IFERROR(1/F$3,1)*SUM(I50:T50)</f>
      </c>
      <c r="G50" s="466">
        <f>AJ50/12</f>
      </c>
      <c r="H50" s="467"/>
      <c r="I50" s="466">
        <f>AJ48/12</f>
      </c>
      <c r="J50" s="466">
        <f>I50*2</f>
      </c>
      <c r="K50" s="466">
        <f>I50*3</f>
      </c>
      <c r="L50" s="466">
        <f>I50*4</f>
      </c>
      <c r="M50" s="466"/>
      <c r="N50" s="466"/>
      <c r="O50" s="466"/>
      <c r="P50" s="466"/>
      <c r="Q50" s="466"/>
      <c r="R50" s="466"/>
      <c r="S50" s="466"/>
      <c r="T50" s="466"/>
      <c r="U50" s="467"/>
      <c r="V50" s="466">
        <f>I50*5</f>
      </c>
      <c r="W50" s="466">
        <f>I50*6</f>
      </c>
      <c r="X50" s="466">
        <f>I50*7</f>
      </c>
      <c r="Y50" s="466">
        <f>I50*8</f>
      </c>
      <c r="Z50" s="466">
        <f>I50*9</f>
      </c>
      <c r="AA50" s="466">
        <f>I50*10</f>
      </c>
      <c r="AB50" s="466">
        <f>I50*11</f>
      </c>
      <c r="AC50" s="466">
        <f>I50*12</f>
      </c>
      <c r="AD50" s="466"/>
      <c r="AE50" s="466">
        <f>SUM(I50:L50)</f>
      </c>
      <c r="AF50" s="466">
        <f>AC50*C6</f>
      </c>
      <c r="AG50" s="467"/>
      <c r="AH50" s="467"/>
      <c r="AI50" s="466">
        <f>SUM(M50:P50)</f>
      </c>
      <c r="AJ50" s="466">
        <v>1149</v>
      </c>
      <c r="AK50" s="3"/>
      <c r="AL50" s="3"/>
      <c r="AM50" s="3"/>
      <c r="AN50" s="3"/>
      <c r="AO50" s="3"/>
      <c r="AP50" s="3"/>
      <c r="AQ50" s="3"/>
      <c r="AR50" s="3"/>
    </row>
    <row x14ac:dyDescent="0.25" r="51" customHeight="1" ht="19.5">
      <c r="A51" s="3"/>
      <c r="B51" s="478" t="s">
        <v>568</v>
      </c>
      <c r="C51" s="468" t="s">
        <v>569</v>
      </c>
      <c r="D51" s="3"/>
      <c r="E51" s="466"/>
      <c r="F51" s="466">
        <f>IFERROR(1/F$3,1)*SUM(I51:T51)</f>
      </c>
      <c r="G51" s="466">
        <f>AJ51/12</f>
      </c>
      <c r="H51" s="467"/>
      <c r="I51" s="466">
        <v>10974</v>
      </c>
      <c r="J51" s="466">
        <v>11021</v>
      </c>
      <c r="K51" s="466">
        <v>464</v>
      </c>
      <c r="L51" s="466">
        <v>5351</v>
      </c>
      <c r="M51" s="466"/>
      <c r="N51" s="466"/>
      <c r="O51" s="466"/>
      <c r="P51" s="466"/>
      <c r="Q51" s="466"/>
      <c r="R51" s="466"/>
      <c r="S51" s="466"/>
      <c r="T51" s="466"/>
      <c r="U51" s="467"/>
      <c r="V51" s="466">
        <v>4939</v>
      </c>
      <c r="W51" s="466">
        <v>-17669</v>
      </c>
      <c r="X51" s="466">
        <v>68299</v>
      </c>
      <c r="Y51" s="466">
        <f>G51</f>
      </c>
      <c r="Z51" s="466">
        <f>V51</f>
      </c>
      <c r="AA51" s="466">
        <f>W51</f>
      </c>
      <c r="AB51" s="466">
        <f>X51</f>
      </c>
      <c r="AC51" s="466">
        <f>Y51</f>
      </c>
      <c r="AD51" s="466"/>
      <c r="AE51" s="466">
        <f>SUM(I51:K51)</f>
      </c>
      <c r="AF51" s="466">
        <f>AC51*C5</f>
      </c>
      <c r="AG51" s="467"/>
      <c r="AH51" s="467"/>
      <c r="AI51" s="466">
        <f>SUM(M51:O51)</f>
      </c>
      <c r="AJ51" s="466">
        <v>214000</v>
      </c>
      <c r="AK51" s="3"/>
      <c r="AL51" s="3"/>
      <c r="AM51" s="3"/>
      <c r="AN51" s="3"/>
      <c r="AO51" s="3"/>
      <c r="AP51" s="3"/>
      <c r="AQ51" s="3"/>
      <c r="AR51" s="3"/>
    </row>
    <row x14ac:dyDescent="0.25" r="52" customHeight="1" ht="19.5">
      <c r="A52" s="3"/>
      <c r="B52" s="478" t="s">
        <v>570</v>
      </c>
      <c r="C52" s="468"/>
      <c r="D52" s="3"/>
      <c r="E52" s="466"/>
      <c r="F52" s="466"/>
      <c r="G52" s="466"/>
      <c r="H52" s="467"/>
      <c r="I52" s="466">
        <f>I51</f>
      </c>
      <c r="J52" s="466">
        <f>J51+I52</f>
      </c>
      <c r="K52" s="466">
        <f>J52+K51</f>
      </c>
      <c r="L52" s="466">
        <f>K52+L51</f>
      </c>
      <c r="M52" s="466"/>
      <c r="N52" s="466"/>
      <c r="O52" s="466"/>
      <c r="P52" s="466"/>
      <c r="Q52" s="466"/>
      <c r="R52" s="466"/>
      <c r="S52" s="466"/>
      <c r="T52" s="466"/>
      <c r="U52" s="467"/>
      <c r="V52" s="466">
        <f>L52+V51</f>
      </c>
      <c r="W52" s="466">
        <f>V52+W51</f>
      </c>
      <c r="X52" s="466">
        <f>W52+X51</f>
      </c>
      <c r="Y52" s="466">
        <f>X52+Y51</f>
      </c>
      <c r="Z52" s="466">
        <f>Y52+Z51</f>
      </c>
      <c r="AA52" s="466">
        <f>Z52+AA51</f>
      </c>
      <c r="AB52" s="466">
        <f>AA52+AB51</f>
      </c>
      <c r="AC52" s="466">
        <f>AB52+AC51</f>
      </c>
      <c r="AD52" s="466"/>
      <c r="AE52" s="466"/>
      <c r="AF52" s="466"/>
      <c r="AG52" s="467"/>
      <c r="AH52" s="467"/>
      <c r="AI52" s="466"/>
      <c r="AJ52" s="466"/>
      <c r="AK52" s="3"/>
      <c r="AL52" s="3"/>
      <c r="AM52" s="3"/>
      <c r="AN52" s="3"/>
      <c r="AO52" s="3"/>
      <c r="AP52" s="3"/>
      <c r="AQ52" s="3"/>
      <c r="AR52" s="3"/>
    </row>
    <row x14ac:dyDescent="0.25" r="53" customHeight="1" ht="19.5">
      <c r="A53" s="3"/>
      <c r="B53" s="478" t="s">
        <v>571</v>
      </c>
      <c r="C53" s="468" t="s">
        <v>569</v>
      </c>
      <c r="D53" s="3"/>
      <c r="E53" s="466"/>
      <c r="F53" s="466">
        <f>IFERROR(1/F$3,1)*SUM(I53:T53)</f>
      </c>
      <c r="G53" s="466">
        <f>AJ53/12</f>
      </c>
      <c r="H53" s="467"/>
      <c r="I53" s="466">
        <f>AJ51/12</f>
      </c>
      <c r="J53" s="466">
        <f>I53*2</f>
      </c>
      <c r="K53" s="466">
        <f>I53*3</f>
      </c>
      <c r="L53" s="466">
        <f>I53*4</f>
      </c>
      <c r="M53" s="466">
        <f>K53*3</f>
      </c>
      <c r="N53" s="466">
        <f>L53*3</f>
      </c>
      <c r="O53" s="466">
        <f>M53*3</f>
      </c>
      <c r="P53" s="466">
        <f>N53*3</f>
      </c>
      <c r="Q53" s="466">
        <f>O53*3</f>
      </c>
      <c r="R53" s="466">
        <f>P53*3</f>
      </c>
      <c r="S53" s="466">
        <f>Q53*3</f>
      </c>
      <c r="T53" s="466">
        <f>R53*3</f>
      </c>
      <c r="U53" s="466">
        <f>S53*3</f>
      </c>
      <c r="V53" s="466">
        <f>I53*5</f>
      </c>
      <c r="W53" s="466">
        <f>I53*6</f>
      </c>
      <c r="X53" s="466">
        <f>I53*7</f>
      </c>
      <c r="Y53" s="466">
        <f>I53*8</f>
      </c>
      <c r="Z53" s="466">
        <f>I53*9</f>
      </c>
      <c r="AA53" s="466">
        <f>I53*10</f>
      </c>
      <c r="AB53" s="466">
        <f>I53*11</f>
      </c>
      <c r="AC53" s="466">
        <f>I53*12</f>
      </c>
      <c r="AD53" s="466">
        <f>AB53*3</f>
      </c>
      <c r="AE53" s="466">
        <f>AC53*3</f>
      </c>
      <c r="AF53" s="466">
        <f>AD53*3</f>
      </c>
      <c r="AG53" s="466">
        <f>AE53*3</f>
      </c>
      <c r="AH53" s="466">
        <f>AF53*3</f>
      </c>
      <c r="AI53" s="466">
        <f>AG53*3</f>
      </c>
      <c r="AJ53" s="466">
        <v>214000</v>
      </c>
      <c r="AK53" s="3"/>
      <c r="AL53" s="3"/>
      <c r="AM53" s="3"/>
      <c r="AN53" s="3"/>
      <c r="AO53" s="3"/>
      <c r="AP53" s="3"/>
      <c r="AQ53" s="3"/>
      <c r="AR53" s="3"/>
    </row>
    <row x14ac:dyDescent="0.25" r="54" customHeight="1" ht="19.5">
      <c r="A54" s="3"/>
      <c r="B54" s="478" t="s">
        <v>572</v>
      </c>
      <c r="C54" s="468" t="s">
        <v>569</v>
      </c>
      <c r="D54" s="3"/>
      <c r="E54" s="466"/>
      <c r="F54" s="466">
        <f>IFERROR(1/F$3,1)*SUM(I54:T54)</f>
      </c>
      <c r="G54" s="466">
        <f>AJ54/12</f>
      </c>
      <c r="H54" s="467"/>
      <c r="I54" s="466">
        <f>I33+I34+I35</f>
      </c>
      <c r="J54" s="466">
        <f>J33+J34+J35</f>
      </c>
      <c r="K54" s="466">
        <f>K33+K34+K35</f>
      </c>
      <c r="L54" s="466">
        <f>L33+L34+L35</f>
      </c>
      <c r="M54" s="466">
        <f>M33+M34+M35</f>
      </c>
      <c r="N54" s="466">
        <f>N33+N34+N35</f>
      </c>
      <c r="O54" s="466">
        <f>O33+O34+O35</f>
      </c>
      <c r="P54" s="466">
        <f>P33+P34+P35</f>
      </c>
      <c r="Q54" s="466">
        <f>Q33+Q34+Q35</f>
      </c>
      <c r="R54" s="466">
        <f>R33+R34+R35</f>
      </c>
      <c r="S54" s="466">
        <f>S33+S34+S35</f>
      </c>
      <c r="T54" s="466">
        <f>T33+T34+T35</f>
      </c>
      <c r="U54" s="466">
        <f>U33+U34+U35</f>
      </c>
      <c r="V54" s="466">
        <f>V33+V34+V35</f>
      </c>
      <c r="W54" s="466">
        <f>W33+W34+W35</f>
      </c>
      <c r="X54" s="466">
        <f>X33+X34+X35</f>
      </c>
      <c r="Y54" s="466">
        <f>Y33+Y34+Y35</f>
      </c>
      <c r="Z54" s="466">
        <f>Z33+Z34+Z35</f>
      </c>
      <c r="AA54" s="466">
        <f>AA33+AA34+AA35</f>
      </c>
      <c r="AB54" s="466">
        <f>AJ54/12</f>
      </c>
      <c r="AC54" s="466">
        <f>AJ54/12</f>
      </c>
      <c r="AD54" s="466"/>
      <c r="AE54" s="466">
        <f>SUM(I54:K54)</f>
      </c>
      <c r="AF54" s="466">
        <f>AC54*C5</f>
      </c>
      <c r="AG54" s="467"/>
      <c r="AH54" s="467"/>
      <c r="AI54" s="466">
        <f>SUM(M54:O54)</f>
      </c>
      <c r="AJ54" s="466">
        <v>500000</v>
      </c>
      <c r="AK54" s="3"/>
      <c r="AL54" s="3"/>
      <c r="AM54" s="3"/>
      <c r="AN54" s="3"/>
      <c r="AO54" s="3"/>
      <c r="AP54" s="3"/>
      <c r="AQ54" s="3"/>
      <c r="AR54" s="3"/>
    </row>
    <row x14ac:dyDescent="0.25" r="55" customHeight="1" ht="19.5">
      <c r="A55" s="3"/>
      <c r="B55" s="478" t="s">
        <v>573</v>
      </c>
      <c r="C55" s="468"/>
      <c r="D55" s="3"/>
      <c r="E55" s="466"/>
      <c r="F55" s="466"/>
      <c r="G55" s="466"/>
      <c r="H55" s="467"/>
      <c r="I55" s="466">
        <f>I54</f>
      </c>
      <c r="J55" s="466">
        <f>I55+J54</f>
      </c>
      <c r="K55" s="466">
        <f>J55+K54</f>
      </c>
      <c r="L55" s="466">
        <f>K55+L54</f>
      </c>
      <c r="M55" s="466">
        <f>M54</f>
      </c>
      <c r="N55" s="466">
        <f>N54</f>
      </c>
      <c r="O55" s="466">
        <f>O54</f>
      </c>
      <c r="P55" s="466">
        <f>P54</f>
      </c>
      <c r="Q55" s="466">
        <f>Q54</f>
      </c>
      <c r="R55" s="466">
        <f>R54</f>
      </c>
      <c r="S55" s="466">
        <f>S54</f>
      </c>
      <c r="T55" s="466">
        <f>T54</f>
      </c>
      <c r="U55" s="466">
        <f>U54</f>
      </c>
      <c r="V55" s="466">
        <f>L55+V54</f>
      </c>
      <c r="W55" s="466">
        <f>V55+W54</f>
      </c>
      <c r="X55" s="466">
        <f>W55+X54</f>
      </c>
      <c r="Y55" s="466">
        <f>X55+Y54</f>
      </c>
      <c r="Z55" s="466">
        <f>Y55+Z54</f>
      </c>
      <c r="AA55" s="466">
        <f>Z55+AA54</f>
      </c>
      <c r="AB55" s="466">
        <f>AA55+AB54</f>
      </c>
      <c r="AC55" s="466">
        <f>AB55+AC54</f>
      </c>
      <c r="AD55" s="466">
        <f>AC55+AD54</f>
      </c>
      <c r="AE55" s="466">
        <f>AD55+AE54</f>
      </c>
      <c r="AF55" s="466">
        <f>AE55+AF54</f>
      </c>
      <c r="AG55" s="466">
        <f>AF55+AG54</f>
      </c>
      <c r="AH55" s="466">
        <f>AG55+AH54</f>
      </c>
      <c r="AI55" s="466">
        <f>AH55+AI54</f>
      </c>
      <c r="AJ55" s="466"/>
      <c r="AK55" s="3"/>
      <c r="AL55" s="3"/>
      <c r="AM55" s="3"/>
      <c r="AN55" s="3"/>
      <c r="AO55" s="3"/>
      <c r="AP55" s="3"/>
      <c r="AQ55" s="3"/>
      <c r="AR55" s="3"/>
    </row>
    <row x14ac:dyDescent="0.25" r="56" customHeight="1" ht="19.5">
      <c r="A56" s="3"/>
      <c r="B56" s="33" t="s">
        <v>574</v>
      </c>
      <c r="C56" s="3"/>
      <c r="D56" s="3"/>
      <c r="E56" s="8"/>
      <c r="F56" s="8"/>
      <c r="G56" s="8"/>
      <c r="H56" s="3"/>
      <c r="I56" s="466">
        <f>AJ56/12</f>
      </c>
      <c r="J56" s="466">
        <f>I56*2</f>
      </c>
      <c r="K56" s="466">
        <f>I56*3</f>
      </c>
      <c r="L56" s="466">
        <f>I56*4</f>
      </c>
      <c r="M56" s="466"/>
      <c r="N56" s="466"/>
      <c r="O56" s="466"/>
      <c r="P56" s="466"/>
      <c r="Q56" s="466"/>
      <c r="R56" s="466"/>
      <c r="S56" s="466"/>
      <c r="T56" s="466"/>
      <c r="U56" s="467"/>
      <c r="V56" s="466">
        <f>I56*5</f>
      </c>
      <c r="W56" s="466">
        <f>I56*6</f>
      </c>
      <c r="X56" s="466">
        <f>I56*7</f>
      </c>
      <c r="Y56" s="466">
        <f>I56*8</f>
      </c>
      <c r="Z56" s="466">
        <f>I56*9</f>
      </c>
      <c r="AA56" s="466">
        <f>I56*10</f>
      </c>
      <c r="AB56" s="466">
        <f>I56*11</f>
      </c>
      <c r="AC56" s="466">
        <f>I56*12</f>
      </c>
      <c r="AD56" s="466"/>
      <c r="AE56" s="466">
        <f>SUM(I56:K56)</f>
      </c>
      <c r="AF56" s="466">
        <f>AC56*C6</f>
      </c>
      <c r="AG56" s="467"/>
      <c r="AH56" s="467"/>
      <c r="AI56" s="466">
        <f>SUM(M56:O56)</f>
      </c>
      <c r="AJ56" s="466">
        <v>500000</v>
      </c>
      <c r="AK56" s="3"/>
      <c r="AL56" s="3"/>
      <c r="AM56" s="3"/>
      <c r="AN56" s="3"/>
      <c r="AO56" s="3"/>
      <c r="AP56" s="3"/>
      <c r="AQ56" s="3"/>
      <c r="AR5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B88"/>
  <sheetViews>
    <sheetView workbookViewId="0"/>
  </sheetViews>
  <sheetFormatPr defaultRowHeight="15" x14ac:dyDescent="0.25"/>
  <cols>
    <col min="1" max="1" style="17" width="12.147857142857141" customWidth="1" bestFit="1"/>
    <col min="2" max="2" style="436" width="26.005" customWidth="1" bestFit="1"/>
    <col min="3" max="3" style="18" width="12.147857142857141" customWidth="1" bestFit="1"/>
    <col min="4" max="4" style="18" width="12.147857142857141" customWidth="1" bestFit="1"/>
    <col min="5" max="5" style="18" width="12.005" customWidth="1" bestFit="1"/>
    <col min="6" max="6" style="18" width="12.005" customWidth="1" bestFit="1"/>
    <col min="7" max="7" style="18" width="12.005" customWidth="1" bestFit="1"/>
    <col min="8" max="8" style="18" width="12.147857142857141" customWidth="1" bestFit="1"/>
    <col min="9" max="9" style="18" width="12.005" customWidth="1" bestFit="1"/>
    <col min="10" max="10" style="18" width="12.005" customWidth="1" bestFit="1"/>
    <col min="11" max="11" style="18" width="13.147857142857141" customWidth="1" bestFit="1"/>
    <col min="12" max="12" style="18" width="13.147857142857141" customWidth="1" bestFit="1"/>
    <col min="13" max="13" style="18" width="13.147857142857141" customWidth="1" bestFit="1"/>
    <col min="14" max="14" style="18" width="13.147857142857141" customWidth="1" bestFit="1"/>
    <col min="15" max="15" style="17" width="12.43357142857143" customWidth="1" bestFit="1"/>
    <col min="16" max="16" style="17" width="10.43357142857143" customWidth="1" bestFit="1"/>
    <col min="17" max="17" style="17" width="13.576428571428572" customWidth="1" bestFit="1"/>
    <col min="18" max="18" style="17" width="14.147857142857141" customWidth="1" bestFit="1"/>
    <col min="19" max="19" style="17" width="14.147857142857141" customWidth="1" bestFit="1"/>
    <col min="20" max="20" style="17" width="14.147857142857141" customWidth="1" bestFit="1"/>
    <col min="21" max="21" style="17" width="14.147857142857141" customWidth="1" bestFit="1"/>
    <col min="22" max="22" style="17" width="14.147857142857141" customWidth="1" bestFit="1"/>
    <col min="23" max="23" style="17" width="14.147857142857141" customWidth="1" bestFit="1"/>
    <col min="24" max="24" style="17" width="14.147857142857141" customWidth="1" bestFit="1"/>
    <col min="25" max="25" style="17" width="14.147857142857141" customWidth="1" bestFit="1"/>
    <col min="26" max="26" style="17" width="14.147857142857141" customWidth="1" bestFit="1"/>
    <col min="27" max="27" style="17" width="14.147857142857141" customWidth="1" bestFit="1"/>
    <col min="28" max="28" style="17" width="14.147857142857141" customWidth="1" bestFit="1"/>
    <col min="29" max="29" style="17" width="14.147857142857141" customWidth="1" bestFit="1"/>
    <col min="30" max="30" style="17" width="14.147857142857141" customWidth="1" bestFit="1"/>
    <col min="31" max="31" style="17" width="14.147857142857141" customWidth="1" bestFit="1"/>
    <col min="32" max="32" style="17" width="14.147857142857141" customWidth="1" bestFit="1"/>
    <col min="33" max="33" style="17" width="14.147857142857141" customWidth="1" bestFit="1"/>
    <col min="34" max="34" style="17" width="14.147857142857141" customWidth="1" bestFit="1"/>
    <col min="35" max="35" style="17" width="14.147857142857141" customWidth="1" bestFit="1"/>
    <col min="36" max="36" style="17" width="14.147857142857141" customWidth="1" bestFit="1"/>
    <col min="37" max="37" style="17" width="14.147857142857141" customWidth="1" bestFit="1"/>
    <col min="38" max="38" style="17" width="14.147857142857141" customWidth="1" bestFit="1"/>
    <col min="39" max="39" style="17" width="14.147857142857141" customWidth="1" bestFit="1"/>
    <col min="40" max="40" style="17" width="14.147857142857141" customWidth="1" bestFit="1"/>
    <col min="41" max="41" style="17" width="14.147857142857141" customWidth="1" bestFit="1"/>
    <col min="42" max="42" style="17" width="14.147857142857141" customWidth="1" bestFit="1"/>
    <col min="43" max="43" style="17" width="14.147857142857141" customWidth="1" bestFit="1"/>
    <col min="44" max="44" style="17" width="14.147857142857141" customWidth="1" bestFit="1"/>
    <col min="45" max="45" style="17" width="14.147857142857141" customWidth="1" bestFit="1"/>
    <col min="46" max="46" style="17" width="14.147857142857141" customWidth="1" bestFit="1"/>
    <col min="47" max="47" style="17" width="14.147857142857141" customWidth="1" bestFit="1"/>
    <col min="48" max="48" style="17" width="14.147857142857141" customWidth="1" bestFit="1"/>
    <col min="49" max="49" style="17" width="14.147857142857141" customWidth="1" bestFit="1"/>
    <col min="50" max="50" style="17" width="14.147857142857141" customWidth="1" bestFit="1"/>
    <col min="51" max="51" style="17" width="14.147857142857141" customWidth="1" bestFit="1"/>
    <col min="52" max="52" style="17" width="14.147857142857141" customWidth="1" bestFit="1"/>
    <col min="53" max="53" style="17" width="14.147857142857141" customWidth="1" bestFit="1"/>
    <col min="54" max="54" style="17" width="14.147857142857141" customWidth="1" bestFit="1"/>
  </cols>
  <sheetData>
    <row x14ac:dyDescent="0.25" r="1" customHeight="1" ht="19.5">
      <c r="A1" s="401" t="s">
        <v>86</v>
      </c>
      <c r="B1" s="402"/>
      <c r="C1" s="403" t="s">
        <v>284</v>
      </c>
      <c r="D1" s="403" t="s">
        <v>282</v>
      </c>
      <c r="E1" s="403" t="s">
        <v>432</v>
      </c>
      <c r="F1" s="403" t="s">
        <v>268</v>
      </c>
      <c r="G1" s="403" t="s">
        <v>433</v>
      </c>
      <c r="H1" s="403" t="s">
        <v>286</v>
      </c>
      <c r="I1" s="403" t="s">
        <v>287</v>
      </c>
      <c r="J1" s="403" t="s">
        <v>283</v>
      </c>
      <c r="K1" s="403" t="s">
        <v>288</v>
      </c>
      <c r="L1" s="403" t="s">
        <v>434</v>
      </c>
      <c r="M1" s="403" t="s">
        <v>290</v>
      </c>
      <c r="N1" s="403" t="s">
        <v>435</v>
      </c>
      <c r="O1" s="404" t="s">
        <v>51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x14ac:dyDescent="0.25" r="2" customHeight="1" ht="19.5">
      <c r="A2" s="127">
        <f>SUM(C2:N2)</f>
      </c>
      <c r="B2" s="127" t="s">
        <v>436</v>
      </c>
      <c r="C2" s="9">
        <f>SUMPRODUCT((YEAR(Data!$D$3:$D341)=2022)*(MONTH(Data!$D$3:$D341)=1)*(Data!$I$3:I341))</f>
      </c>
      <c r="D2" s="9">
        <f>SUMPRODUCT((YEAR(Data!$D$3:$D341)=2022)*(MONTH(Data!$D$3:$D341)=2)*(Data!$I$3:I341))</f>
      </c>
      <c r="E2" s="9">
        <f>SUMPRODUCT((YEAR(Data!$D$3:$D$341)=2022)*(MONTH(Data!$D$3:$D$341)=3)*(Data!$I$3:$I$341))</f>
      </c>
      <c r="F2" s="9">
        <f>SUMPRODUCT((YEAR(Data!$D$3:$D$341)=2022)*(MONTH(Data!$D$3:$D$341)=4)*(Data!$I$3:$I$341))</f>
      </c>
      <c r="G2" s="9">
        <f>SUMPRODUCT((YEAR(Data!$D$3:$D$341)=2022)*(MONTH(Data!$D$3:$D$341)=5)*(Data!$I$3:$I$341))</f>
      </c>
      <c r="H2" s="9">
        <f>SUMPRODUCT((YEAR(Data!$D$3:$D$341)=2022)*(MONTH(Data!$D$3:$D$341)=6)*(Data!$I$3:$I$341))</f>
      </c>
      <c r="I2" s="9">
        <f>SUMPRODUCT((YEAR(Data!$D$3:$D$341)=2022)*(MONTH(Data!$D$3:$D$341)=7)*(Data!$I$3:$I$341))</f>
      </c>
      <c r="J2" s="9">
        <f>SUMPRODUCT((YEAR(Data!$D$3:$D$341)=2022)*(MONTH(Data!$D$3:$D$341)=8)*(Data!$I$3:$I$341))</f>
      </c>
      <c r="K2" s="9">
        <f>SUMPRODUCT((YEAR(Data!$D$3:$D$341)=2022)*(MONTH(Data!$D$3:$D$341)=9)*(Data!$I$3:$I$341))</f>
      </c>
      <c r="L2" s="9">
        <f>SUMPRODUCT((YEAR(Data!$D$3:$D$341)=2022)*(MONTH(Data!$D$3:$D$341)=10)*(Data!$I$3:$I$341))</f>
      </c>
      <c r="M2" s="9">
        <f>SUMPRODUCT((YEAR(Data!$D$3:$D$341)=2022)*(MONTH(Data!$D$3:$D$341)=11)*(Data!$I$3:$I$341))</f>
      </c>
      <c r="N2" s="9">
        <f>SUMPRODUCT((YEAR(Data!$D$3:$D$341)=2022)*(MONTH(Data!$D$3:$D$341)=12)*(Data!$I$3:$I$341))</f>
      </c>
      <c r="O2" s="232">
        <f>SUM(C2:N2)</f>
      </c>
      <c r="P2" s="3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x14ac:dyDescent="0.25" r="3" customHeight="1" ht="19.5">
      <c r="A3" s="405">
        <f>SUM(C3:N3)</f>
      </c>
      <c r="B3" s="405" t="s">
        <v>437</v>
      </c>
      <c r="C3" s="406">
        <f>SUMIFS(Data!$S$3:$S$178,Data!$P$3:$P$178,C$21,Data!$O$3:$O$178,"2022")</f>
      </c>
      <c r="D3" s="406">
        <f>SUMIFS(Data!$S$3:$S$178,Data!$P$3:$P$178,D$21,Data!$O$3:$O$178,"2022")</f>
      </c>
      <c r="E3" s="406">
        <f>SUMIFS(Data!$S$3:$S$178,Data!$P$3:$P$178,E$21,Data!$O$3:$O$178,"2022")</f>
      </c>
      <c r="F3" s="406">
        <f>SUMIFS(Data!$S$3:$S$178,Data!$P$3:$P$178,F$21,Data!$O$3:$O$178,"2022")</f>
      </c>
      <c r="G3" s="406">
        <f>SUMIFS(Data!$S$3:$S$178,Data!$P$3:$P$178,G$21,Data!$O$3:$O$178,"2022")</f>
      </c>
      <c r="H3" s="406">
        <f>SUMIFS(Data!$S$3:$S$178,Data!$P$3:$P$178,H$21,Data!$O$3:$O$178,"2022")</f>
      </c>
      <c r="I3" s="406">
        <f>SUMIFS(Data!$S$3:$S$178,Data!$P$3:$P$178,I$21,Data!$O$3:$O$178,"2022")</f>
      </c>
      <c r="J3" s="406">
        <f>SUMIFS(Data!$S$3:$S$178,Data!$P$3:$P$178,J$21,Data!$O$3:$O$178,"2022")</f>
      </c>
      <c r="K3" s="406">
        <f>SUMIFS(Data!$S$3:$S$178,Data!$P$3:$P$178,K$21,Data!$O$3:$O$178,"2022")</f>
      </c>
      <c r="L3" s="406">
        <f>SUMIFS(Data!$S$3:$S$178,Data!$P$3:$P$178,L$21,Data!$O$3:$O$178,"2022")</f>
      </c>
      <c r="M3" s="406">
        <f>SUMIFS(Data!$S$3:$S$178,Data!$P$3:$P$178,M$21,Data!$O$3:$O$178,"2022")</f>
      </c>
      <c r="N3" s="406">
        <f>SUMIFS(Data!$S$3:$S$178,Data!$P$3:$P$178,N$21,Data!$O$3:$O$178,"2022")</f>
      </c>
      <c r="O3" s="232">
        <f>SUM(C3:N3)</f>
      </c>
      <c r="P3" s="38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</row>
    <row x14ac:dyDescent="0.25" r="4" customHeight="1" ht="19.5">
      <c r="A4" s="407">
        <f>SUM(C4:N4)</f>
      </c>
      <c r="B4" s="407" t="s">
        <v>438</v>
      </c>
      <c r="C4" s="408">
        <f>SUMPRODUCT((YEAR(Data!$AC$3:$AC$341)=2022)*(MONTH(Data!$AC$3:$AC$341)=1)*(Data!$AD$3:$AD$341))-Data!AD138-Data!AD139-Data!AD140</f>
      </c>
      <c r="D4" s="408">
        <f>SUMPRODUCT((YEAR(Data!$AC$3:$AC$341)=2022)*(MONTH(Data!$AC$3:$AC$341)=2)*(Data!$AD$3:$AD$341))</f>
      </c>
      <c r="E4" s="408">
        <f>SUMPRODUCT((YEAR(Data!$AC$3:$AC$341)=2022)*(MONTH(Data!$AC$3:$AC$341)=3)*(Data!$AD$3:$AD$341))-Data!AD143-Data!AD144-Data!AD145</f>
      </c>
      <c r="F4" s="408">
        <f>SUMPRODUCT((YEAR(Data!$AC$3:$AC$341)=2022)*(MONTH(Data!$AC$3:$AC$341)=4)*(Data!$AD$3:$AD$341))</f>
      </c>
      <c r="G4" s="408">
        <f>SUMPRODUCT((YEAR(Data!$AC$3:$AC$341)=2022)*(MONTH(Data!$AC$3:$AC$341)=5)*(Data!$AD$3:$AD$341))</f>
      </c>
      <c r="H4" s="408">
        <f>SUMPRODUCT((YEAR(Data!$AC$3:$AC$341)=2022)*(MONTH(Data!$AC$3:$AC$341)=6)*(Data!$AD$3:$AD$341))</f>
      </c>
      <c r="I4" s="408">
        <f>SUMPRODUCT((YEAR(Data!$AC$3:$AC$341)=2022)*(MONTH(Data!$AC$3:$AC$341)=7)*(Data!$AD$3:$AD$341))</f>
      </c>
      <c r="J4" s="408">
        <f>SUMPRODUCT((YEAR(Data!$AC$3:$AC$341)=2022)*(MONTH(Data!$AC$3:$AC$341)=8)*(Data!$AD$3:$AD$341))</f>
      </c>
      <c r="K4" s="408">
        <f>SUMPRODUCT((YEAR(Data!$AC$3:$AC$341)=2022)*(MONTH(Data!$AC$3:$AC$341)=9)*(Data!$AD$3:$AD$341))</f>
      </c>
      <c r="L4" s="408">
        <f>SUMPRODUCT((YEAR(Data!$AC$3:$AC$341)=2022)*(MONTH(Data!$AC$3:$AC$341)=10)*(Data!$AD$3:$AD$341))</f>
      </c>
      <c r="M4" s="408">
        <f>SUMPRODUCT((YEAR(Data!$AC$3:$AC$341)=2022)*(MONTH(Data!$AC$3:$AC$341)=11)*(Data!$AD$3:$AD$341))</f>
      </c>
      <c r="N4" s="408">
        <f>SUMPRODUCT((YEAR(Data!$AC$3:$AC$341)=2022)*(MONTH(Data!$AC$3:$AC$341)=12)*(Data!$AD$3:$AD$341))</f>
      </c>
      <c r="O4" s="232">
        <f>SUM(C4:N4)</f>
      </c>
      <c r="P4" s="159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</row>
    <row x14ac:dyDescent="0.25" r="5" customHeight="1" ht="19.5">
      <c r="A5" s="405">
        <f>SUM(C5:N5)</f>
      </c>
      <c r="B5" s="405" t="s">
        <v>437</v>
      </c>
      <c r="C5" s="406">
        <f>C17*$O$5</f>
      </c>
      <c r="D5" s="406">
        <f>D17*$O$5</f>
      </c>
      <c r="E5" s="406">
        <f>E17*$O$5</f>
      </c>
      <c r="F5" s="406">
        <f>F17*$O$5</f>
      </c>
      <c r="G5" s="406">
        <f>G17*$O$5</f>
      </c>
      <c r="H5" s="406">
        <f>H17*$O$5</f>
      </c>
      <c r="I5" s="406">
        <f>I17*$O$5</f>
      </c>
      <c r="J5" s="406">
        <f>J17*$O$5</f>
      </c>
      <c r="K5" s="406">
        <f>K17*$O$5</f>
      </c>
      <c r="L5" s="406">
        <f>L17*$O$5</f>
      </c>
      <c r="M5" s="406">
        <f>M17*$O$5</f>
      </c>
      <c r="N5" s="406">
        <f>N17*$O$5</f>
      </c>
      <c r="O5" s="409"/>
      <c r="P5" s="387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</row>
    <row x14ac:dyDescent="0.25" r="6" customHeight="1" ht="19.5">
      <c r="A6" s="407">
        <f>SUM(C6:N6)</f>
      </c>
      <c r="B6" s="407" t="s">
        <v>438</v>
      </c>
      <c r="C6" s="408">
        <f>C19*$O$6</f>
      </c>
      <c r="D6" s="408">
        <f>D19*$O$6</f>
      </c>
      <c r="E6" s="408">
        <f>E19*$O$6</f>
      </c>
      <c r="F6" s="408">
        <f>F19*$O$6</f>
      </c>
      <c r="G6" s="408">
        <f>G19*$O$6</f>
      </c>
      <c r="H6" s="408">
        <f>H19*$O$6</f>
      </c>
      <c r="I6" s="408">
        <f>I19*$O$6</f>
      </c>
      <c r="J6" s="408">
        <f>J19*$O$6</f>
      </c>
      <c r="K6" s="408">
        <f>K19*$O$6</f>
      </c>
      <c r="L6" s="408">
        <f>L19*$O$6</f>
      </c>
      <c r="M6" s="408">
        <f>M19*$O$6</f>
      </c>
      <c r="N6" s="408">
        <f>N19*$O$6</f>
      </c>
      <c r="O6" s="410"/>
      <c r="P6" s="15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x14ac:dyDescent="0.25" r="7" customHeight="1" ht="19.5">
      <c r="A7" s="411"/>
      <c r="B7" s="412" t="s">
        <v>146</v>
      </c>
      <c r="C7" s="413">
        <f>C2</f>
      </c>
      <c r="D7" s="413">
        <f>C7+D2</f>
      </c>
      <c r="E7" s="413">
        <f>D7+E2</f>
      </c>
      <c r="F7" s="413">
        <f>E7+F2</f>
      </c>
      <c r="G7" s="413">
        <f>F7+G2</f>
      </c>
      <c r="H7" s="168">
        <f>G7+H2</f>
      </c>
      <c r="I7" s="413">
        <f>H7+I2</f>
      </c>
      <c r="J7" s="411">
        <f>I7+J2</f>
      </c>
      <c r="K7" s="411">
        <f>J7+K2</f>
      </c>
      <c r="L7" s="411">
        <f>K7+L2</f>
      </c>
      <c r="M7" s="411">
        <f>L7+M2</f>
      </c>
      <c r="N7" s="411">
        <f>M7+N2</f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</row>
    <row x14ac:dyDescent="0.25" r="8" customHeight="1" ht="19.5">
      <c r="A8" s="414" t="s">
        <v>439</v>
      </c>
      <c r="B8" s="415" t="s">
        <v>440</v>
      </c>
      <c r="C8" s="228">
        <f>C3</f>
      </c>
      <c r="D8" s="228">
        <f>C8+D3</f>
      </c>
      <c r="E8" s="228">
        <f>D8+E3</f>
      </c>
      <c r="F8" s="228">
        <f>E8+F3</f>
      </c>
      <c r="G8" s="228">
        <f>F8+G3</f>
      </c>
      <c r="H8" s="228">
        <f>G8+H3</f>
      </c>
      <c r="I8" s="228">
        <f>H8+I3</f>
      </c>
      <c r="J8" s="228">
        <f>I8+J3</f>
      </c>
      <c r="K8" s="228">
        <f>J8+K3</f>
      </c>
      <c r="L8" s="228">
        <f>K8+L3</f>
      </c>
      <c r="M8" s="228">
        <f>L8+M3</f>
      </c>
      <c r="N8" s="228">
        <f>M8+N3</f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x14ac:dyDescent="0.25" r="9" customHeight="1" ht="19.5">
      <c r="A9" s="416" t="s">
        <v>441</v>
      </c>
      <c r="B9" s="402" t="s">
        <v>442</v>
      </c>
      <c r="C9" s="9">
        <f>SUM('Weekly Data'!C5:G5)</f>
      </c>
      <c r="D9" s="9">
        <f>SUM('Weekly Data'!H5:K5)</f>
      </c>
      <c r="E9" s="9">
        <f>SUM('Weekly Data'!L5:O5)</f>
      </c>
      <c r="F9" s="9">
        <f>SUM('Weekly Data'!P5:S5)</f>
      </c>
      <c r="G9" s="9">
        <f>SUM('Weekly Data'!T5:X5)</f>
      </c>
      <c r="H9" s="9">
        <f>SUM('Weekly Data'!Y5:AB5)</f>
      </c>
      <c r="I9" s="9">
        <f>SUM('Weekly Data'!AC5:AG5)</f>
      </c>
      <c r="J9" s="127">
        <f>SUM('Weekly Data'!AH5:AK5)</f>
      </c>
      <c r="K9" s="9">
        <f>SUM('Weekly Data'!AL5:AO5)</f>
      </c>
      <c r="L9" s="9">
        <f>SUM('Weekly Data'!AP5:AT5)</f>
      </c>
      <c r="M9" s="9">
        <f>SUM('Weekly Data'!AU5:AX5)</f>
      </c>
      <c r="N9" s="9">
        <f>SUM('Weekly Data'!AY5:BB5)</f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</row>
    <row x14ac:dyDescent="0.25" r="10" customHeight="1" ht="19.5">
      <c r="A10" s="416" t="s">
        <v>441</v>
      </c>
      <c r="B10" s="402" t="s">
        <v>443</v>
      </c>
      <c r="C10" s="9">
        <f>C9</f>
      </c>
      <c r="D10" s="9">
        <f>C10+D9</f>
      </c>
      <c r="E10" s="9">
        <f>D10+E9</f>
      </c>
      <c r="F10" s="9">
        <f>E10+F9</f>
      </c>
      <c r="G10" s="9">
        <f>F10+G9</f>
      </c>
      <c r="H10" s="9">
        <f>G10+H9</f>
      </c>
      <c r="I10" s="9">
        <f>H10+I9</f>
      </c>
      <c r="J10" s="127">
        <f>I10+J9</f>
      </c>
      <c r="K10" s="9">
        <f>J10+K9</f>
      </c>
      <c r="L10" s="9">
        <f>K10+L9</f>
      </c>
      <c r="M10" s="9">
        <f>L10+M9</f>
      </c>
      <c r="N10" s="9">
        <f>M10+N9</f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x14ac:dyDescent="0.25" r="11" customHeight="1" ht="19.5">
      <c r="A11" s="417" t="s">
        <v>444</v>
      </c>
      <c r="B11" s="163" t="s">
        <v>445</v>
      </c>
      <c r="C11" s="418">
        <f>C8-C10</f>
      </c>
      <c r="D11" s="418">
        <f>D8-D10</f>
      </c>
      <c r="E11" s="418">
        <f>E8-E10</f>
      </c>
      <c r="F11" s="418">
        <f>F8-F10</f>
      </c>
      <c r="G11" s="418">
        <f>G8-G10</f>
      </c>
      <c r="H11" s="419">
        <f>H8-H10</f>
      </c>
      <c r="I11" s="419">
        <f>I8-I10</f>
      </c>
      <c r="J11" s="419">
        <f>J8-J10</f>
      </c>
      <c r="K11" s="419">
        <f>K8-K10</f>
      </c>
      <c r="L11" s="418">
        <f>L8-L10</f>
      </c>
      <c r="M11" s="418">
        <f>M8-M10</f>
      </c>
      <c r="N11" s="159">
        <f>N8-N10</f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x14ac:dyDescent="0.25" r="12" customHeight="1" ht="19.5">
      <c r="A12" s="420" t="s">
        <v>446</v>
      </c>
      <c r="B12" s="415" t="s">
        <v>447</v>
      </c>
      <c r="C12" s="421">
        <f>C4</f>
      </c>
      <c r="D12" s="228">
        <f>D4+C12</f>
      </c>
      <c r="E12" s="228">
        <f>E4+D12</f>
      </c>
      <c r="F12" s="228">
        <f>F4+E12</f>
      </c>
      <c r="G12" s="228">
        <f>G4+F12</f>
      </c>
      <c r="H12" s="228">
        <f>H4+G12</f>
      </c>
      <c r="I12" s="228">
        <f>I4+H12</f>
      </c>
      <c r="J12" s="228">
        <f>J4+I12</f>
      </c>
      <c r="K12" s="228">
        <f>K4+J12</f>
      </c>
      <c r="L12" s="228">
        <f>L4+K12</f>
      </c>
      <c r="M12" s="228">
        <f>M4+L12</f>
      </c>
      <c r="N12" s="228">
        <f>N4+M12</f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</row>
    <row x14ac:dyDescent="0.25" r="13" customHeight="1" ht="19.5">
      <c r="A13" s="422" t="s">
        <v>441</v>
      </c>
      <c r="B13" s="402" t="s">
        <v>448</v>
      </c>
      <c r="C13" s="9">
        <f>SUM('Weekly Data'!C6:G6)</f>
      </c>
      <c r="D13" s="9">
        <f>SUM('Weekly Data'!H6:K6)</f>
      </c>
      <c r="E13" s="9">
        <f>SUM('Weekly Data'!L6:O6)</f>
      </c>
      <c r="F13" s="9">
        <f>SUM('Weekly Data'!P6:S6)</f>
      </c>
      <c r="G13" s="9">
        <f>SUM('Weekly Data'!T6:X6)</f>
      </c>
      <c r="H13" s="9">
        <f>SUM('Weekly Data'!Y6:AB6)</f>
      </c>
      <c r="I13" s="9">
        <f>SUM('Weekly Data'!AC6:AG6)</f>
      </c>
      <c r="J13" s="127">
        <f>SUM('Weekly Data'!AH6:AK6)</f>
      </c>
      <c r="K13" s="9">
        <f>SUM('Weekly Data'!AL6:AO6)</f>
      </c>
      <c r="L13" s="9">
        <f>SUM('Weekly Data'!AP6:AT6)</f>
      </c>
      <c r="M13" s="9">
        <f>SUM('Weekly Data'!AU6:AX6)</f>
      </c>
      <c r="N13" s="9">
        <f>SUM('Weekly Data'!AV6:AY6)</f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x14ac:dyDescent="0.25" r="14" customHeight="1" ht="19.5">
      <c r="A14" s="422" t="s">
        <v>441</v>
      </c>
      <c r="B14" s="402" t="s">
        <v>449</v>
      </c>
      <c r="C14" s="423">
        <f>C13</f>
      </c>
      <c r="D14" s="9">
        <f>C14+D13</f>
      </c>
      <c r="E14" s="9">
        <f>D14+E13</f>
      </c>
      <c r="F14" s="9">
        <f>E14+F13</f>
      </c>
      <c r="G14" s="9">
        <f>F14+G13</f>
      </c>
      <c r="H14" s="9">
        <f>G14+H13</f>
      </c>
      <c r="I14" s="9">
        <f>H14+I13</f>
      </c>
      <c r="J14" s="127">
        <f>I14+J13</f>
      </c>
      <c r="K14" s="9">
        <f>J14+K13</f>
      </c>
      <c r="L14" s="9">
        <f>K14+L13</f>
      </c>
      <c r="M14" s="9">
        <f>L14+M13</f>
      </c>
      <c r="N14" s="9">
        <f>M14+N13</f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x14ac:dyDescent="0.25" r="15" customHeight="1" ht="19.5">
      <c r="A15" s="424" t="s">
        <v>444</v>
      </c>
      <c r="B15" s="163" t="s">
        <v>450</v>
      </c>
      <c r="C15" s="418">
        <f>C12-C14</f>
      </c>
      <c r="D15" s="418">
        <f>D12-D14</f>
      </c>
      <c r="E15" s="418">
        <f>E12-E14</f>
      </c>
      <c r="F15" s="418">
        <f>F12-F14</f>
      </c>
      <c r="G15" s="418">
        <f>G12-G14</f>
      </c>
      <c r="H15" s="419">
        <f>H12-H14</f>
      </c>
      <c r="I15" s="419">
        <f>I12-I14</f>
      </c>
      <c r="J15" s="419">
        <f>J12-J14</f>
      </c>
      <c r="K15" s="419">
        <f>K12-K14</f>
      </c>
      <c r="L15" s="419">
        <f>L12-L14</f>
      </c>
      <c r="M15" s="419">
        <f>M12-M14</f>
      </c>
      <c r="N15" s="168">
        <f>N12-N14</f>
      </c>
      <c r="O15" s="3"/>
      <c r="P15" s="3"/>
      <c r="Q15" s="3"/>
      <c r="R15" s="3"/>
      <c r="S15" s="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x14ac:dyDescent="0.25" r="16" customHeight="1" ht="19.5">
      <c r="A16" s="3" t="s">
        <v>451</v>
      </c>
      <c r="B16" s="425">
        <v>39254</v>
      </c>
      <c r="C16" s="127">
        <f>B16+C3-C4</f>
      </c>
      <c r="D16" s="127">
        <f>C16+D3-D4</f>
      </c>
      <c r="E16" s="127">
        <f>D16+E3-E4</f>
      </c>
      <c r="F16" s="127">
        <f>E16+F3-F4</f>
      </c>
      <c r="G16" s="127">
        <f>F16+G3-G4</f>
      </c>
      <c r="H16" s="127">
        <f>G16+H3-H4</f>
      </c>
      <c r="I16" s="127">
        <f>H16+I3-I4</f>
      </c>
      <c r="J16" s="127">
        <f>I16+J3-J4</f>
      </c>
      <c r="K16" s="127">
        <f>J16+K3-K4</f>
      </c>
      <c r="L16" s="127">
        <f>K16+L3-L4</f>
      </c>
      <c r="M16" s="127">
        <f>L16+M3-M4</f>
      </c>
      <c r="N16" s="127">
        <f>M16+N3-N4</f>
      </c>
      <c r="O16" s="127"/>
      <c r="P16" s="3"/>
      <c r="Q16" s="3"/>
      <c r="R16" s="3"/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x14ac:dyDescent="0.25" r="17" customHeight="1" ht="19.5">
      <c r="A17" s="3"/>
      <c r="B17" s="425" t="s">
        <v>452</v>
      </c>
      <c r="C17" s="426">
        <v>0.098184313208132</v>
      </c>
      <c r="D17" s="426">
        <v>0.07628396311362316</v>
      </c>
      <c r="E17" s="426">
        <v>0.1005893766451187</v>
      </c>
      <c r="F17" s="426">
        <v>0.0883301638363952</v>
      </c>
      <c r="G17" s="426">
        <v>0.1027978467776269</v>
      </c>
      <c r="H17" s="426">
        <v>0.1130793165408566</v>
      </c>
      <c r="I17" s="426">
        <v>0.1249037196893451</v>
      </c>
      <c r="J17" s="426">
        <v>0.06954938222174342</v>
      </c>
      <c r="K17" s="426">
        <v>0.06617201006788159</v>
      </c>
      <c r="L17" s="426">
        <v>0.0448903887909843</v>
      </c>
      <c r="M17" s="426">
        <v>0.05760975955414655</v>
      </c>
      <c r="N17" s="426">
        <v>0.05760975955414655</v>
      </c>
      <c r="O17" s="127"/>
      <c r="P17" s="3"/>
      <c r="Q17" s="3"/>
      <c r="R17" s="3"/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</row>
    <row x14ac:dyDescent="0.25" r="18" customHeight="1" ht="19.5">
      <c r="A18" s="3"/>
      <c r="B18" s="425" t="s">
        <v>453</v>
      </c>
      <c r="C18" s="426">
        <v>0.03906880124113987</v>
      </c>
      <c r="D18" s="426">
        <v>0.1083888695887865</v>
      </c>
      <c r="E18" s="426">
        <v>0.05958236601051375</v>
      </c>
      <c r="F18" s="426">
        <v>0.06120408029449428</v>
      </c>
      <c r="G18" s="426">
        <v>0.1166287491291777</v>
      </c>
      <c r="H18" s="426">
        <v>0.03992845645871607</v>
      </c>
      <c r="I18" s="426">
        <v>0.108953713634688</v>
      </c>
      <c r="J18" s="426">
        <v>0.07527545628729071</v>
      </c>
      <c r="K18" s="426">
        <v>0.0716396203964831</v>
      </c>
      <c r="L18" s="426">
        <v>0.1170580710584261</v>
      </c>
      <c r="M18" s="426">
        <v>0.134847877266856</v>
      </c>
      <c r="N18" s="426">
        <v>0.06742393863342802</v>
      </c>
      <c r="O18" s="127"/>
      <c r="P18" s="3"/>
      <c r="Q18" s="3"/>
      <c r="R18" s="3"/>
      <c r="S18" s="9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</row>
    <row x14ac:dyDescent="0.25" r="19" customHeight="1" ht="19.5">
      <c r="A19" s="3"/>
      <c r="B19" s="425" t="s">
        <v>454</v>
      </c>
      <c r="C19" s="426">
        <f>C18*2/3+D18/3</f>
      </c>
      <c r="D19" s="426">
        <f>C18/3+D18/3+E18/3</f>
      </c>
      <c r="E19" s="426">
        <f>D18/3+E18/3+F18/3</f>
      </c>
      <c r="F19" s="426">
        <f>E18/3+F18/3+G18/3</f>
      </c>
      <c r="G19" s="426">
        <f>F18/3+G18/3+H18/3</f>
      </c>
      <c r="H19" s="426">
        <f>G18/3+H18/3+I18/3</f>
      </c>
      <c r="I19" s="426">
        <f>H18/3+I18/3+J18/3</f>
      </c>
      <c r="J19" s="426">
        <f>I18/3+J18/3+K18/3</f>
      </c>
      <c r="K19" s="426">
        <f>J18/3+K18/3+L18/3</f>
      </c>
      <c r="L19" s="426">
        <f>K18/3+L18/3+M18/3</f>
      </c>
      <c r="M19" s="426">
        <f>L18/3+M18/3+N18/3</f>
      </c>
      <c r="N19" s="426">
        <f>M18/3+N18*2/3</f>
      </c>
      <c r="O19" s="127"/>
      <c r="P19" s="3"/>
      <c r="Q19" s="3"/>
      <c r="R19" s="3"/>
      <c r="S19" s="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</row>
    <row x14ac:dyDescent="0.25" r="20" customHeight="1" ht="19.5">
      <c r="A20" s="3"/>
      <c r="B20" s="402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</row>
    <row x14ac:dyDescent="0.25" r="21" customHeight="1" ht="19.5">
      <c r="A21" s="3"/>
      <c r="B21" s="402"/>
      <c r="C21" s="207">
        <v>1</v>
      </c>
      <c r="D21" s="207">
        <v>2</v>
      </c>
      <c r="E21" s="207">
        <v>3</v>
      </c>
      <c r="F21" s="207">
        <v>4</v>
      </c>
      <c r="G21" s="207">
        <v>5</v>
      </c>
      <c r="H21" s="207">
        <v>6</v>
      </c>
      <c r="I21" s="207">
        <v>7</v>
      </c>
      <c r="J21" s="207">
        <v>8</v>
      </c>
      <c r="K21" s="207">
        <v>9</v>
      </c>
      <c r="L21" s="207">
        <v>10</v>
      </c>
      <c r="M21" s="207">
        <v>11</v>
      </c>
      <c r="N21" s="207">
        <v>12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</row>
    <row x14ac:dyDescent="0.25" r="22" customHeight="1" ht="19.5">
      <c r="A22" s="3"/>
      <c r="B22" s="415" t="s">
        <v>455</v>
      </c>
      <c r="C22" s="9">
        <f>SUMIFS(tbl_DCFC[C Montant &amp;#8364; HT],tbl_DCFC[OI_Month],C$21,tbl_DCFC[BU_Key],"GSE",tbl_DCFC[OI_Year],2022)</f>
      </c>
      <c r="D22" s="9">
        <f>SUMIFS(tbl_DCFC[C Montant &amp;#8364; HT],tbl_DCFC[OI_Month],D$21,tbl_DCFC[BU_Key],"GSE",tbl_DCFC[OI_Year],2022)</f>
      </c>
      <c r="E22" s="9">
        <f>SUMIFS(tbl_DCFC[C Montant &amp;#8364; HT],tbl_DCFC[OI_Month],E$21,tbl_DCFC[BU_Key],"GSE",tbl_DCFC[OI_Year],2022)</f>
      </c>
      <c r="F22" s="9">
        <f>SUMIFS(tbl_DCFC[C Montant &amp;#8364; HT],tbl_DCFC[OI_Month],F$21,tbl_DCFC[BU_Key],"GSE",tbl_DCFC[OI_Year],2022)</f>
      </c>
      <c r="G22" s="9">
        <f>SUMIFS(tbl_DCFC[C Montant &amp;#8364; HT],tbl_DCFC[OI_Month],G$21,tbl_DCFC[BU_Key],"GSE",tbl_DCFC[OI_Year],2022)</f>
      </c>
      <c r="H22" s="9">
        <f>SUMIFS(tbl_DCFC[C Montant &amp;#8364; HT],tbl_DCFC[OI_Month],H$21,tbl_DCFC[BU_Key],"GSE",tbl_DCFC[OI_Year],2022)</f>
      </c>
      <c r="I22" s="9">
        <f>SUMIFS(tbl_DCFC[C Montant &amp;#8364; HT],tbl_DCFC[OI_Month],I$21,tbl_DCFC[BU_Key],"GSE",tbl_DCFC[OI_Year],2022)</f>
      </c>
      <c r="J22" s="9">
        <f>SUMIFS(tbl_DCFC[C Montant &amp;#8364; HT],tbl_DCFC[OI_Month],J$21,tbl_DCFC[BU_Key],"GSE",tbl_DCFC[OI_Year],2022)</f>
      </c>
      <c r="K22" s="9">
        <f>SUMIFS(tbl_DCFC[C Montant &amp;#8364; HT],tbl_DCFC[OI_Month],K$21,tbl_DCFC[BU_Key],"GSE",tbl_DCFC[OI_Year],2022)</f>
      </c>
      <c r="L22" s="9">
        <f>SUMIFS(tbl_DCFC[C Montant &amp;#8364; HT],tbl_DCFC[OI_Month],L$21,tbl_DCFC[BU_Key],"GSE",tbl_DCFC[OI_Year],2022)</f>
      </c>
      <c r="M22" s="9">
        <f>SUMIFS(tbl_DCFC[C Montant &amp;#8364; HT],tbl_DCFC[OI_Month],M$21,tbl_DCFC[BU_Key],"GSE",tbl_DCFC[OI_Year],2022)</f>
      </c>
      <c r="N22" s="9">
        <f>SUMIFS(tbl_DCFC[C Montant &amp;#8364; HT],tbl_DCFC[OI_Month],N$21,tbl_DCFC[BU_Key],"GSE",tbl_DCFC[OI_Year],2022)</f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>
        <f>SUMIFS(tbl_DCFC[Status],tbl_DCFC[Client],AT$1,tbl_DCFC[Contact Person],"GSE")</f>
      </c>
      <c r="AU22" s="9">
        <f>SUMIFS(tbl_DCFC[Spalte2],tbl_DCFC[End Client],AU$1,tbl_DCFC[Spalte12],"GSE")</f>
      </c>
      <c r="AV22" s="9">
        <f>SUMIFS(tbl_DCFC[CW ORDER],tbl_DCFC[D Montant &amp;#8364; HT],AV$1,tbl_DCFC[Co&amp;#251;ts achats],"GSE")</f>
      </c>
      <c r="AW22" s="9">
        <f>SUMIFS(tbl_DCFC[OI_Year],tbl_DCFC[ASM],AW$1,tbl_DCFC[Co&amp;#251;ts main d''&amp;#339;uvre],"GSE")</f>
      </c>
      <c r="AX22" s="9">
        <f>SUMIFS(tbl_DCFC[OI_Month],tbl_DCFC[Categorie],AX$1,tbl_DCFC[Marge],"GSE")</f>
      </c>
      <c r="AY22" s="9">
        <f>SUMIFS(tbl_DCFC[Date Cmde],tbl_DCFC[Status],AY$1,tbl_DCFC[Marge %],"GSE")</f>
      </c>
      <c r="AZ22" s="9">
        <f>SUMIFS(tbl_DCFC[Cmde N&amp;#176;],tbl_DCFC[Spalte2],AZ$1,tbl_DCFC[Date],"GSE")</f>
      </c>
      <c r="BA22" s="9">
        <f>SUMIFS(tbl_DCFC[C Montant &amp;#8364; HT],tbl_DCFC[CW ORDER],BA$1,tbl_DCFC[BU_Key],"GSE")</f>
      </c>
      <c r="BB22" s="9">
        <f>SUMIFS(tbl_DCFC[Montant Restant &amp;#8364;],tbl_DCFC[OI_Year],BB$1,tbl_DCFC[CW],"GSE")</f>
      </c>
    </row>
    <row x14ac:dyDescent="0.25" r="23" customHeight="1" ht="19.5">
      <c r="A23" s="3"/>
      <c r="B23" s="415" t="s">
        <v>456</v>
      </c>
      <c r="C23" s="9">
        <f>SUMIFS(tbl_DCFC[C Montant &amp;#8364; HT],tbl_DCFC[OI_Month],C$21,tbl_DCFC[BU_Key],"TOO",tbl_DCFC[OI_Year],2022)</f>
      </c>
      <c r="D23" s="9">
        <f>SUMIFS(tbl_DCFC[C Montant &amp;#8364; HT],tbl_DCFC[OI_Month],D$21,tbl_DCFC[BU_Key],"TOO",tbl_DCFC[OI_Year],2022)</f>
      </c>
      <c r="E23" s="9">
        <f>SUMIFS(tbl_DCFC[C Montant &amp;#8364; HT],tbl_DCFC[OI_Month],E$21,tbl_DCFC[BU_Key],"TOO",tbl_DCFC[OI_Year],2022)</f>
      </c>
      <c r="F23" s="9">
        <f>SUMIFS(tbl_DCFC[C Montant &amp;#8364; HT],tbl_DCFC[OI_Month],F$21,tbl_DCFC[BU_Key],"TOO",tbl_DCFC[OI_Year],2022)</f>
      </c>
      <c r="G23" s="9">
        <f>SUMIFS(tbl_DCFC[C Montant &amp;#8364; HT],tbl_DCFC[OI_Month],G$21,tbl_DCFC[BU_Key],"TOO",tbl_DCFC[OI_Year],2022)</f>
      </c>
      <c r="H23" s="9">
        <f>SUMIFS(tbl_DCFC[C Montant &amp;#8364; HT],tbl_DCFC[OI_Month],H$21,tbl_DCFC[BU_Key],"TOO",tbl_DCFC[OI_Year],2022)</f>
      </c>
      <c r="I23" s="9">
        <f>SUMIFS(tbl_DCFC[C Montant &amp;#8364; HT],tbl_DCFC[OI_Month],I$21,tbl_DCFC[BU_Key],"TOO",tbl_DCFC[OI_Year],2022)</f>
      </c>
      <c r="J23" s="9">
        <f>SUMIFS(tbl_DCFC[C Montant &amp;#8364; HT],tbl_DCFC[OI_Month],J$21,tbl_DCFC[BU_Key],"TOO",tbl_DCFC[OI_Year],2022)</f>
      </c>
      <c r="K23" s="9">
        <f>SUMIFS(tbl_DCFC[C Montant &amp;#8364; HT],tbl_DCFC[OI_Month],K$21,tbl_DCFC[BU_Key],"TOO",tbl_DCFC[OI_Year],2022)</f>
      </c>
      <c r="L23" s="9">
        <f>SUMIFS(tbl_DCFC[C Montant &amp;#8364; HT],tbl_DCFC[OI_Month],L$21,tbl_DCFC[BU_Key],"TOO",tbl_DCFC[OI_Year],2022)</f>
      </c>
      <c r="M23" s="9">
        <f>SUMIFS(tbl_DCFC[C Montant &amp;#8364; HT],tbl_DCFC[OI_Month],M$21,tbl_DCFC[BU_Key],"TOO",tbl_DCFC[OI_Year],2022)</f>
      </c>
      <c r="N23" s="9">
        <f>SUMIFS(tbl_DCFC[C Montant &amp;#8364; HT],tbl_DCFC[OI_Month],N$21,tbl_DCFC[BU_Key],"TOO",tbl_DCFC[OI_Year],2022)</f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>
        <f>SUMIFS(tbl_DCFC[Status],tbl_DCFC[Client],AT$1,tbl_DCFC[Contact Person],"TOO")</f>
      </c>
      <c r="AU23" s="9">
        <f>SUMIFS(tbl_DCFC[Spalte2],tbl_DCFC[End Client],AU$1,tbl_DCFC[Spalte12],"TOO")</f>
      </c>
      <c r="AV23" s="9">
        <f>SUMIFS(tbl_DCFC[CW ORDER],tbl_DCFC[D Montant &amp;#8364; HT],AV$1,tbl_DCFC[Co&amp;#251;ts achats],"TOO")</f>
      </c>
      <c r="AW23" s="9">
        <f>SUMIFS(tbl_DCFC[OI_Year],tbl_DCFC[ASM],AW$1,tbl_DCFC[Co&amp;#251;ts main d''&amp;#339;uvre],"TOO")</f>
      </c>
      <c r="AX23" s="9">
        <f>SUMIFS(tbl_DCFC[OI_Month],tbl_DCFC[Categorie],AX$1,tbl_DCFC[Marge],"TOO")</f>
      </c>
      <c r="AY23" s="9">
        <f>SUMIFS(tbl_DCFC[Date Cmde],tbl_DCFC[Status],AY$1,tbl_DCFC[Marge %],"TOO")</f>
      </c>
      <c r="AZ23" s="9">
        <f>SUMIFS(tbl_DCFC[Cmde N&amp;#176;],tbl_DCFC[Spalte2],AZ$1,tbl_DCFC[Date],"TOO")</f>
      </c>
      <c r="BA23" s="9">
        <f>SUMIFS(tbl_DCFC[C Montant &amp;#8364; HT],tbl_DCFC[CW ORDER],BA$1,tbl_DCFC[BU_Key],"TOO")</f>
      </c>
      <c r="BB23" s="9">
        <f>SUMIFS(tbl_DCFC[Montant Restant &amp;#8364;],tbl_DCFC[OI_Year],BB$1,tbl_DCFC[CW],"TOO")</f>
      </c>
    </row>
    <row x14ac:dyDescent="0.25" r="24" customHeight="1" ht="19.5">
      <c r="A24" s="3"/>
      <c r="B24" s="415" t="s">
        <v>457</v>
      </c>
      <c r="C24" s="9">
        <f>SUMIFS(tbl_DCFC[C Montant &amp;#8364; HT],tbl_DCFC[OI_Month],C$21,tbl_DCFC[BU_Key],"SER",tbl_DCFC[OI_Year],2022)</f>
      </c>
      <c r="D24" s="9">
        <f>SUMIFS(tbl_DCFC[C Montant &amp;#8364; HT],tbl_DCFC[OI_Month],D$21,tbl_DCFC[BU_Key],"SER",tbl_DCFC[OI_Year],2022)</f>
      </c>
      <c r="E24" s="9">
        <f>SUMIFS(tbl_DCFC[C Montant &amp;#8364; HT],tbl_DCFC[OI_Month],E$21,tbl_DCFC[BU_Key],"SER",tbl_DCFC[OI_Year],2022)</f>
      </c>
      <c r="F24" s="9">
        <f>SUMIFS(tbl_DCFC[C Montant &amp;#8364; HT],tbl_DCFC[OI_Month],F$21,tbl_DCFC[BU_Key],"SER",tbl_DCFC[OI_Year],2022)</f>
      </c>
      <c r="G24" s="9">
        <f>SUMIFS(tbl_DCFC[C Montant &amp;#8364; HT],tbl_DCFC[OI_Month],G$21,tbl_DCFC[BU_Key],"SER",tbl_DCFC[OI_Year],2022)</f>
      </c>
      <c r="H24" s="9">
        <f>SUMIFS(tbl_DCFC[C Montant &amp;#8364; HT],tbl_DCFC[OI_Month],H$21,tbl_DCFC[BU_Key],"SER",tbl_DCFC[OI_Year],2022)</f>
      </c>
      <c r="I24" s="9">
        <f>SUMIFS(tbl_DCFC[C Montant &amp;#8364; HT],tbl_DCFC[OI_Month],I$21,tbl_DCFC[BU_Key],"SER",tbl_DCFC[OI_Year],2022)</f>
      </c>
      <c r="J24" s="9">
        <f>SUMIFS(tbl_DCFC[C Montant &amp;#8364; HT],tbl_DCFC[OI_Month],J$21,tbl_DCFC[BU_Key],"SER",tbl_DCFC[OI_Year],2022)</f>
      </c>
      <c r="K24" s="9">
        <f>SUMIFS(tbl_DCFC[C Montant &amp;#8364; HT],tbl_DCFC[OI_Month],K$21,tbl_DCFC[BU_Key],"SER",tbl_DCFC[OI_Year],2022)</f>
      </c>
      <c r="L24" s="9">
        <f>SUMIFS(tbl_DCFC[C Montant &amp;#8364; HT],tbl_DCFC[OI_Month],L$21,tbl_DCFC[BU_Key],"SER",tbl_DCFC[OI_Year],2022)</f>
      </c>
      <c r="M24" s="9">
        <f>SUMIFS(tbl_DCFC[C Montant &amp;#8364; HT],tbl_DCFC[OI_Month],M$21,tbl_DCFC[BU_Key],"SER",tbl_DCFC[OI_Year],2022)</f>
      </c>
      <c r="N24" s="9">
        <f>SUMIFS(tbl_DCFC[C Montant &amp;#8364; HT],tbl_DCFC[OI_Month],N$21,tbl_DCFC[BU_Key],"SER",tbl_DCFC[OI_Year],2022)</f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>
        <f>SUMIFS(tbl_DCFC[Status],tbl_DCFC[Client],AT$1,tbl_DCFC[Contact Person],"SER")</f>
      </c>
      <c r="AU24" s="9">
        <f>SUMIFS(tbl_DCFC[Spalte2],tbl_DCFC[End Client],AU$1,tbl_DCFC[Spalte12],"SER")</f>
      </c>
      <c r="AV24" s="9">
        <f>SUMIFS(tbl_DCFC[CW ORDER],tbl_DCFC[D Montant &amp;#8364; HT],AV$1,tbl_DCFC[Co&amp;#251;ts achats],"SER")</f>
      </c>
      <c r="AW24" s="9">
        <f>SUMIFS(tbl_DCFC[OI_Year],tbl_DCFC[ASM],AW$1,tbl_DCFC[Co&amp;#251;ts main d''&amp;#339;uvre],"SER")</f>
      </c>
      <c r="AX24" s="9">
        <f>SUMIFS(tbl_DCFC[OI_Month],tbl_DCFC[Categorie],AX$1,tbl_DCFC[Marge],"SER")</f>
      </c>
      <c r="AY24" s="9">
        <f>SUMIFS(tbl_DCFC[Date Cmde],tbl_DCFC[Status],AY$1,tbl_DCFC[Marge %],"SER")</f>
      </c>
      <c r="AZ24" s="9">
        <f>SUMIFS(tbl_DCFC[Cmde N&amp;#176;],tbl_DCFC[Spalte2],AZ$1,tbl_DCFC[Date],"SER")</f>
      </c>
      <c r="BA24" s="9">
        <f>SUMIFS(tbl_DCFC[C Montant &amp;#8364; HT],tbl_DCFC[CW ORDER],BA$1,tbl_DCFC[BU_Key],"SER")</f>
      </c>
      <c r="BB24" s="9">
        <f>SUMIFS(tbl_DCFC[Montant Restant &amp;#8364;],tbl_DCFC[OI_Year],BB$1,tbl_DCFC[CW],"SER")</f>
      </c>
    </row>
    <row x14ac:dyDescent="0.25" r="25" customHeight="1" ht="19.5">
      <c r="A25" s="3"/>
      <c r="B25" s="415" t="s">
        <v>458</v>
      </c>
      <c r="C25" s="159">
        <f>SUMIFS(tbl_DCFC[C Montant &amp;#8364; HT],tbl_DCFC[OI_Month],C$21,tbl_DCFC[BU_Key],"INT",tbl_DCFC[OI_Year],2022)</f>
      </c>
      <c r="D25" s="159">
        <f>SUMIFS(tbl_DCFC[C Montant &amp;#8364; HT],tbl_DCFC[OI_Month],D$21,tbl_DCFC[BU_Key],"INT",tbl_DCFC[OI_Year],2022)</f>
      </c>
      <c r="E25" s="159">
        <f>SUMIFS(tbl_DCFC[C Montant &amp;#8364; HT],tbl_DCFC[OI_Month],E$21,tbl_DCFC[BU_Key],"INT",tbl_DCFC[OI_Year],2022)</f>
      </c>
      <c r="F25" s="159">
        <f>SUMIFS(tbl_DCFC[C Montant &amp;#8364; HT],tbl_DCFC[OI_Month],F$21,tbl_DCFC[BU_Key],"INT",tbl_DCFC[OI_Year],2022)</f>
      </c>
      <c r="G25" s="159">
        <f>SUMIFS(tbl_DCFC[C Montant &amp;#8364; HT],tbl_DCFC[OI_Month],G$21,tbl_DCFC[BU_Key],"INT",tbl_DCFC[OI_Year],2022)</f>
      </c>
      <c r="H25" s="159">
        <f>SUMIFS(tbl_DCFC[C Montant &amp;#8364; HT],tbl_DCFC[OI_Month],H$21,tbl_DCFC[BU_Key],"INT",tbl_DCFC[OI_Year],2022)</f>
      </c>
      <c r="I25" s="159">
        <f>SUMIFS(tbl_DCFC[C Montant &amp;#8364; HT],tbl_DCFC[OI_Month],I$21,tbl_DCFC[BU_Key],"INT",tbl_DCFC[OI_Year],2022)</f>
      </c>
      <c r="J25" s="159">
        <f>SUMIFS(tbl_DCFC[C Montant &amp;#8364; HT],tbl_DCFC[OI_Month],J$21,tbl_DCFC[BU_Key],"INT",tbl_DCFC[OI_Year],2022)</f>
      </c>
      <c r="K25" s="159">
        <f>SUMIFS(tbl_DCFC[C Montant &amp;#8364; HT],tbl_DCFC[OI_Month],K$21,tbl_DCFC[BU_Key],"INT",tbl_DCFC[OI_Year],2022)</f>
      </c>
      <c r="L25" s="159">
        <f>SUMIFS(tbl_DCFC[C Montant &amp;#8364; HT],tbl_DCFC[OI_Month],L$21,tbl_DCFC[BU_Key],"INT",tbl_DCFC[OI_Year],2022)</f>
      </c>
      <c r="M25" s="159">
        <f>SUMIFS(tbl_DCFC[C Montant &amp;#8364; HT],tbl_DCFC[OI_Month],M$21,tbl_DCFC[BU_Key],"INT",tbl_DCFC[OI_Year],2022)</f>
      </c>
      <c r="N25" s="159">
        <f>SUMIFS(tbl_DCFC[C Montant &amp;#8364; HT],tbl_DCFC[OI_Month],N$21,tbl_DCFC[BU_Key],"INT",tbl_DCFC[OI_Year],2022)</f>
      </c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>
        <f>SUMIFS(tbl_DCFC[C Montant &amp;#8364; HT],tbl_DCFC[CW ORDER],AT$1,tbl_DCFC[BU_Key],"INT")</f>
      </c>
      <c r="AU25" s="159">
        <f>SUMIFS(tbl_DCFC[C Montant &amp;#8364; HT],tbl_DCFC[CW ORDER],AU$1,tbl_DCFC[BU_Key],"INT")</f>
      </c>
      <c r="AV25" s="159">
        <f>SUMIFS(tbl_DCFC[C Montant &amp;#8364; HT],tbl_DCFC[CW ORDER],AV$1,tbl_DCFC[BU_Key],"INT")</f>
      </c>
      <c r="AW25" s="159">
        <f>SUMIFS(tbl_DCFC[C Montant &amp;#8364; HT],tbl_DCFC[CW ORDER],AW$1,tbl_DCFC[BU_Key],"INT")</f>
      </c>
      <c r="AX25" s="159">
        <f>SUMIFS(tbl_DCFC[C Montant &amp;#8364; HT],tbl_DCFC[CW ORDER],AX$1,tbl_DCFC[BU_Key],"INT")</f>
      </c>
      <c r="AY25" s="159">
        <f>SUMIFS(tbl_DCFC[C Montant &amp;#8364; HT],tbl_DCFC[CW ORDER],AY$1,tbl_DCFC[BU_Key],"INT")</f>
      </c>
      <c r="AZ25" s="159">
        <f>SUMIFS(tbl_DCFC[C Montant &amp;#8364; HT],tbl_DCFC[CW ORDER],AZ$1,tbl_DCFC[BU_Key],"INT")</f>
      </c>
      <c r="BA25" s="159">
        <f>SUMIFS(tbl_DCFC[C Montant &amp;#8364; HT],tbl_DCFC[CW ORDER],BA$1,tbl_DCFC[BU_Key],"INT")</f>
      </c>
      <c r="BB25" s="159">
        <f>SUMIFS(tbl_DCFC[C Montant &amp;#8364; HT],tbl_DCFC[CW ORDER],BB$1,tbl_DCFC[BU_Key],"INT")</f>
      </c>
    </row>
    <row x14ac:dyDescent="0.25" r="26" customHeight="1" ht="19.5">
      <c r="A26" s="3"/>
      <c r="B26" s="415" t="s">
        <v>459</v>
      </c>
      <c r="C26" s="239">
        <f>C22</f>
      </c>
      <c r="D26" s="239">
        <f>C26+D22</f>
      </c>
      <c r="E26" s="239">
        <f>D26+E22</f>
      </c>
      <c r="F26" s="239">
        <f>E26+F22</f>
      </c>
      <c r="G26" s="239">
        <f>F26+G22</f>
      </c>
      <c r="H26" s="239">
        <f>G26+H22</f>
      </c>
      <c r="I26" s="239">
        <f>H26+I22</f>
      </c>
      <c r="J26" s="239">
        <f>I26+J22</f>
      </c>
      <c r="K26" s="239">
        <f>J26+K22</f>
      </c>
      <c r="L26" s="239">
        <f>K26+L22</f>
      </c>
      <c r="M26" s="239">
        <f>L26+M22</f>
      </c>
      <c r="N26" s="239">
        <f>M26+N22</f>
      </c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>
        <f>AS26+AT22</f>
      </c>
      <c r="AU26" s="239">
        <f>AT26+AU22</f>
      </c>
      <c r="AV26" s="239">
        <f>AU26+AV22</f>
      </c>
      <c r="AW26" s="239">
        <f>AV26+AW22</f>
      </c>
      <c r="AX26" s="239">
        <f>AW26+AX22</f>
      </c>
      <c r="AY26" s="239">
        <f>AX26+AY22</f>
      </c>
      <c r="AZ26" s="239">
        <f>AY26+AZ22</f>
      </c>
      <c r="BA26" s="239">
        <f>AZ26+BA22</f>
      </c>
      <c r="BB26" s="239">
        <f>BA26+BB22</f>
      </c>
    </row>
    <row x14ac:dyDescent="0.25" r="27" customHeight="1" ht="19.5">
      <c r="A27" s="3"/>
      <c r="B27" s="415" t="s">
        <v>460</v>
      </c>
      <c r="C27" s="9">
        <f>C23</f>
      </c>
      <c r="D27" s="9">
        <f>C27+D23</f>
      </c>
      <c r="E27" s="9">
        <f>D27+E23</f>
      </c>
      <c r="F27" s="9">
        <f>E27+F23</f>
      </c>
      <c r="G27" s="9">
        <f>F27+G23</f>
      </c>
      <c r="H27" s="9">
        <f>G27+H23</f>
      </c>
      <c r="I27" s="9">
        <f>H27+I23</f>
      </c>
      <c r="J27" s="9">
        <f>I27+J23</f>
      </c>
      <c r="K27" s="9">
        <f>J27+K23</f>
      </c>
      <c r="L27" s="9">
        <f>K27+L23</f>
      </c>
      <c r="M27" s="9">
        <f>L27+M23</f>
      </c>
      <c r="N27" s="9">
        <f>M27+N23</f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>
        <f>AS27+AT23</f>
      </c>
      <c r="AU27" s="9">
        <f>AT27+AU23</f>
      </c>
      <c r="AV27" s="9">
        <f>AU27+AV23</f>
      </c>
      <c r="AW27" s="9">
        <f>AV27+AW23</f>
      </c>
      <c r="AX27" s="9">
        <f>AW27+AX23</f>
      </c>
      <c r="AY27" s="9">
        <f>AX27+AY23</f>
      </c>
      <c r="AZ27" s="9">
        <f>AY27+AZ23</f>
      </c>
      <c r="BA27" s="9">
        <f>AZ27+BA23</f>
      </c>
      <c r="BB27" s="9">
        <f>BA27+BB23</f>
      </c>
    </row>
    <row x14ac:dyDescent="0.25" r="28" customHeight="1" ht="19.5">
      <c r="A28" s="3"/>
      <c r="B28" s="415" t="s">
        <v>461</v>
      </c>
      <c r="C28" s="9">
        <f>C24</f>
      </c>
      <c r="D28" s="9">
        <f>C28+D24</f>
      </c>
      <c r="E28" s="9">
        <f>D28+E24</f>
      </c>
      <c r="F28" s="9">
        <f>E28+F24</f>
      </c>
      <c r="G28" s="9">
        <f>F28+G24</f>
      </c>
      <c r="H28" s="9">
        <f>G28+H24</f>
      </c>
      <c r="I28" s="9">
        <f>H28+I24</f>
      </c>
      <c r="J28" s="9">
        <f>I28+J24</f>
      </c>
      <c r="K28" s="9">
        <f>J28+K24</f>
      </c>
      <c r="L28" s="9">
        <f>K28+L24</f>
      </c>
      <c r="M28" s="9">
        <f>L28+M24</f>
      </c>
      <c r="N28" s="9">
        <f>M28+N24</f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>
        <f>AS28+AT24</f>
      </c>
      <c r="AU28" s="9">
        <f>AT28+AU24</f>
      </c>
      <c r="AV28" s="9">
        <f>AU28+AV24</f>
      </c>
      <c r="AW28" s="9">
        <f>AV28+AW24</f>
      </c>
      <c r="AX28" s="9">
        <f>AW28+AX24</f>
      </c>
      <c r="AY28" s="9">
        <f>AX28+AY24</f>
      </c>
      <c r="AZ28" s="9">
        <f>AY28+AZ24</f>
      </c>
      <c r="BA28" s="9">
        <f>AZ28+BA24</f>
      </c>
      <c r="BB28" s="9">
        <f>BA28+BB24</f>
      </c>
    </row>
    <row x14ac:dyDescent="0.25" r="29" customHeight="1" ht="19.5">
      <c r="A29" s="3"/>
      <c r="B29" s="415" t="s">
        <v>462</v>
      </c>
      <c r="C29" s="9">
        <f>C25</f>
      </c>
      <c r="D29" s="9">
        <f>C29+D25</f>
      </c>
      <c r="E29" s="9">
        <f>D29+E25</f>
      </c>
      <c r="F29" s="9">
        <f>E29+F25</f>
      </c>
      <c r="G29" s="9">
        <f>F29+G25</f>
      </c>
      <c r="H29" s="9">
        <f>G29+H25</f>
      </c>
      <c r="I29" s="9">
        <f>H29+I25</f>
      </c>
      <c r="J29" s="9">
        <f>I29+J25</f>
      </c>
      <c r="K29" s="9">
        <f>J29+K25</f>
      </c>
      <c r="L29" s="9">
        <f>K29+L25</f>
      </c>
      <c r="M29" s="9">
        <f>L29+M25</f>
      </c>
      <c r="N29" s="9">
        <f>M29+N25</f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>
        <f>AS29+AT25</f>
      </c>
      <c r="AU29" s="9">
        <f>AT29+AU25</f>
      </c>
      <c r="AV29" s="9">
        <f>AU29+AV25</f>
      </c>
      <c r="AW29" s="9">
        <f>AV29+AW25</f>
      </c>
      <c r="AX29" s="9">
        <f>AW29+AX25</f>
      </c>
      <c r="AY29" s="9">
        <f>AX29+AY25</f>
      </c>
      <c r="AZ29" s="9">
        <f>AY29+AZ25</f>
      </c>
      <c r="BA29" s="9">
        <f>AZ29+BA25</f>
      </c>
      <c r="BB29" s="9">
        <f>BA29+BB25</f>
      </c>
    </row>
    <row x14ac:dyDescent="0.25" r="30" customHeight="1" ht="19.5">
      <c r="A30" s="3"/>
      <c r="B30" s="16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</row>
    <row x14ac:dyDescent="0.25" r="31" customHeight="1" ht="19.5">
      <c r="A31" s="3"/>
      <c r="B31" s="16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x14ac:dyDescent="0.25" r="32" customHeight="1" ht="19.5">
      <c r="A32" s="3"/>
      <c r="B32" s="16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</row>
    <row x14ac:dyDescent="0.25" r="33" customHeight="1" ht="19.5">
      <c r="A33" s="3"/>
      <c r="B33" s="415" t="s">
        <v>463</v>
      </c>
      <c r="C33" s="9">
        <f>SUMIFS(tbl_DCFC[F Montant HT],tbl_DCFC[Revenue_Month],C$21,tbl_DCFC[BU_Key],"GSE")</f>
      </c>
      <c r="D33" s="9">
        <f>SUMIFS(tbl_DCFC[F Montant HT],tbl_DCFC[Revenue_Month],D$21,tbl_DCFC[BU_Key],"GSE")</f>
      </c>
      <c r="E33" s="9">
        <f>SUMIFS(tbl_DCFC[F Montant HT],tbl_DCFC[Revenue_Month],E$21,tbl_DCFC[BU_Key],"GSE")</f>
      </c>
      <c r="F33" s="9">
        <f>SUMIFS(tbl_DCFC[F Montant HT],tbl_DCFC[Revenue_Month],F$21,tbl_DCFC[BU_Key],"GSE")</f>
      </c>
      <c r="G33" s="9">
        <f>SUMIFS(tbl_DCFC[F Montant HT],tbl_DCFC[Revenue_Month],G$21,tbl_DCFC[BU_Key],"GSE")</f>
      </c>
      <c r="H33" s="9">
        <f>SUMIFS(tbl_DCFC[F Montant HT],tbl_DCFC[Revenue_Month],H$21,tbl_DCFC[BU_Key],"GSE")</f>
      </c>
      <c r="I33" s="9">
        <f>SUMIFS(tbl_DCFC[F Montant HT],tbl_DCFC[Revenue_Month],I$21,tbl_DCFC[BU_Key],"GSE")</f>
      </c>
      <c r="J33" s="9">
        <f>SUMIFS(tbl_DCFC[F Montant HT],tbl_DCFC[Revenue_Month],J$21,tbl_DCFC[BU_Key],"GSE")</f>
      </c>
      <c r="K33" s="9">
        <f>SUMIFS(tbl_DCFC[F Montant HT],tbl_DCFC[Revenue_Month],K$21,tbl_DCFC[BU_Key],"GSE")</f>
      </c>
      <c r="L33" s="9">
        <f>SUMIFS(tbl_DCFC[F Montant HT],tbl_DCFC[Revenue_Month],L$21,tbl_DCFC[BU_Key],"GSE")</f>
      </c>
      <c r="M33" s="9">
        <f>SUMIFS(tbl_DCFC[F Montant HT],tbl_DCFC[Revenue_Month],M$21,tbl_DCFC[BU_Key],"GSE")</f>
      </c>
      <c r="N33" s="9">
        <f>SUMIFS(tbl_DCFC[F Montant HT],tbl_DCFC[Revenue_Month],N$21,tbl_DCFC[BU_Key],"GSE")</f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>
        <f>SUMIFS(tbl_DCFC[F Montant HT],tbl_DCFC[CW REV],AT$1,tbl_DCFC[BU_Key],"GSE")</f>
      </c>
      <c r="AU33" s="9">
        <f>SUMIFS(tbl_DCFC[F Montant HT],tbl_DCFC[CW REV],AU$1,tbl_DCFC[BU_Key],"GSE")</f>
      </c>
      <c r="AV33" s="9">
        <f>SUMIFS(tbl_DCFC[F Montant HT],tbl_DCFC[CW REV],AV$1,tbl_DCFC[BU_Key],"GSE")</f>
      </c>
      <c r="AW33" s="9">
        <f>SUMIFS(tbl_DCFC[F Montant HT],tbl_DCFC[CW REV],AW$1,tbl_DCFC[BU_Key],"GSE")</f>
      </c>
      <c r="AX33" s="9">
        <f>SUMIFS(tbl_DCFC[F Montant HT],tbl_DCFC[CW REV],AX$1,tbl_DCFC[BU_Key],"GSE")</f>
      </c>
      <c r="AY33" s="9">
        <f>SUMIFS(tbl_DCFC[F Montant HT],tbl_DCFC[CW REV],AY$1,tbl_DCFC[BU_Key],"GSE")</f>
      </c>
      <c r="AZ33" s="9">
        <f>SUMIFS(tbl_DCFC[F Montant HT],tbl_DCFC[CW REV],AZ$1,tbl_DCFC[BU_Key],"GSE")</f>
      </c>
      <c r="BA33" s="9">
        <f>SUMIFS(tbl_DCFC[F Montant HT],tbl_DCFC[CW REV],BA$1,tbl_DCFC[BU_Key],"GSE")</f>
      </c>
      <c r="BB33" s="9">
        <f>SUMIFS(tbl_DCFC[F Montant HT],tbl_DCFC[CW REV],BB$1,tbl_DCFC[BU_Key],"GSE")</f>
      </c>
    </row>
    <row x14ac:dyDescent="0.25" r="34" customHeight="1" ht="19.5">
      <c r="A34" s="3"/>
      <c r="B34" s="415" t="s">
        <v>464</v>
      </c>
      <c r="C34" s="9">
        <f>SUMIFS(tbl_DCFC[F Montant HT],tbl_DCFC[Revenue_Month],C$21,tbl_DCFC[BU_Key],"TOO")</f>
      </c>
      <c r="D34" s="9">
        <f>SUMIFS(tbl_DCFC[F Montant HT],tbl_DCFC[Revenue_Month],D$21,tbl_DCFC[BU_Key],"TOO")</f>
      </c>
      <c r="E34" s="9">
        <f>SUMIFS(tbl_DCFC[F Montant HT],tbl_DCFC[Revenue_Month],E$21,tbl_DCFC[BU_Key],"TOO")</f>
      </c>
      <c r="F34" s="9">
        <f>SUMIFS(tbl_DCFC[F Montant HT],tbl_DCFC[Revenue_Month],F$21,tbl_DCFC[BU_Key],"TOO")</f>
      </c>
      <c r="G34" s="9">
        <f>SUMIFS(tbl_DCFC[F Montant HT],tbl_DCFC[Revenue_Month],G$21,tbl_DCFC[BU_Key],"TOO")</f>
      </c>
      <c r="H34" s="9">
        <f>SUMIFS(tbl_DCFC[F Montant HT],tbl_DCFC[Revenue_Month],H$21,tbl_DCFC[BU_Key],"TOO")</f>
      </c>
      <c r="I34" s="9">
        <f>SUMIFS(tbl_DCFC[F Montant HT],tbl_DCFC[Revenue_Month],I$21,tbl_DCFC[BU_Key],"TOO")</f>
      </c>
      <c r="J34" s="9">
        <f>SUMIFS(tbl_DCFC[F Montant HT],tbl_DCFC[Revenue_Month],J$21,tbl_DCFC[BU_Key],"TOO")</f>
      </c>
      <c r="K34" s="9">
        <f>SUMIFS(tbl_DCFC[F Montant HT],tbl_DCFC[Revenue_Month],K$21,tbl_DCFC[BU_Key],"TOO")</f>
      </c>
      <c r="L34" s="9">
        <f>SUMIFS(tbl_DCFC[F Montant HT],tbl_DCFC[Revenue_Month],L$21,tbl_DCFC[BU_Key],"TOO")</f>
      </c>
      <c r="M34" s="9">
        <f>SUMIFS(tbl_DCFC[F Montant HT],tbl_DCFC[Revenue_Month],M$21,tbl_DCFC[BU_Key],"TOO")</f>
      </c>
      <c r="N34" s="9">
        <f>SUMIFS(tbl_DCFC[F Montant HT],tbl_DCFC[Revenue_Month],N$21,tbl_DCFC[BU_Key],"TOO")</f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>
        <f>SUMIFS(tbl_DCFC[F Montant HT],tbl_DCFC[CW REV],AT$1,tbl_DCFC[BU_Key],"TOO")</f>
      </c>
      <c r="AU34" s="9">
        <f>SUMIFS(tbl_DCFC[F Montant HT],tbl_DCFC[CW REV],AU$1,tbl_DCFC[BU_Key],"TOO")</f>
      </c>
      <c r="AV34" s="9">
        <f>SUMIFS(tbl_DCFC[F Montant HT],tbl_DCFC[CW REV],AV$1,tbl_DCFC[BU_Key],"TOO")</f>
      </c>
      <c r="AW34" s="9">
        <f>SUMIFS(tbl_DCFC[F Montant HT],tbl_DCFC[CW REV],AW$1,tbl_DCFC[BU_Key],"TOO")</f>
      </c>
      <c r="AX34" s="9">
        <f>SUMIFS(tbl_DCFC[F Montant HT],tbl_DCFC[CW REV],AX$1,tbl_DCFC[BU_Key],"TOO")</f>
      </c>
      <c r="AY34" s="9">
        <f>SUMIFS(tbl_DCFC[F Montant HT],tbl_DCFC[CW REV],AY$1,tbl_DCFC[BU_Key],"TOO")</f>
      </c>
      <c r="AZ34" s="9">
        <f>SUMIFS(tbl_DCFC[F Montant HT],tbl_DCFC[CW REV],AZ$1,tbl_DCFC[BU_Key],"TOO")</f>
      </c>
      <c r="BA34" s="9">
        <f>SUMIFS(tbl_DCFC[F Montant HT],tbl_DCFC[CW REV],BA$1,tbl_DCFC[BU_Key],"TOO")</f>
      </c>
      <c r="BB34" s="9">
        <f>SUMIFS(tbl_DCFC[F Montant HT],tbl_DCFC[CW REV],BB$1,tbl_DCFC[BU_Key],"TOO")</f>
      </c>
    </row>
    <row x14ac:dyDescent="0.25" r="35" customHeight="1" ht="19.5">
      <c r="A35" s="3"/>
      <c r="B35" s="415" t="s">
        <v>465</v>
      </c>
      <c r="C35" s="9">
        <f>SUMIFS(tbl_DCFC[F Montant HT],tbl_DCFC[Revenue_Month],C$21,tbl_DCFC[BU_Key],"SER")</f>
      </c>
      <c r="D35" s="9">
        <f>SUMIFS(tbl_DCFC[F Montant HT],tbl_DCFC[Revenue_Month],D$21,tbl_DCFC[BU_Key],"SER")</f>
      </c>
      <c r="E35" s="9">
        <f>SUMIFS(tbl_DCFC[F Montant HT],tbl_DCFC[Revenue_Month],E$21,tbl_DCFC[BU_Key],"SER")</f>
      </c>
      <c r="F35" s="9">
        <f>SUMIFS(tbl_DCFC[F Montant HT],tbl_DCFC[Revenue_Month],F$21,tbl_DCFC[BU_Key],"SER")</f>
      </c>
      <c r="G35" s="9">
        <f>SUMIFS(tbl_DCFC[F Montant HT],tbl_DCFC[Revenue_Month],G$21,tbl_DCFC[BU_Key],"SER")</f>
      </c>
      <c r="H35" s="9">
        <f>SUMIFS(tbl_DCFC[F Montant HT],tbl_DCFC[Revenue_Month],H$21,tbl_DCFC[BU_Key],"SER")</f>
      </c>
      <c r="I35" s="9">
        <f>SUMIFS(tbl_DCFC[F Montant HT],tbl_DCFC[Revenue_Month],I$21,tbl_DCFC[BU_Key],"SER")</f>
      </c>
      <c r="J35" s="9">
        <f>SUMIFS(tbl_DCFC[F Montant HT],tbl_DCFC[Revenue_Month],J$21,tbl_DCFC[BU_Key],"SER")</f>
      </c>
      <c r="K35" s="9">
        <f>SUMIFS(tbl_DCFC[F Montant HT],tbl_DCFC[Revenue_Month],K$21,tbl_DCFC[BU_Key],"SER")</f>
      </c>
      <c r="L35" s="9">
        <f>SUMIFS(tbl_DCFC[F Montant HT],tbl_DCFC[Revenue_Month],L$21,tbl_DCFC[BU_Key],"SER")</f>
      </c>
      <c r="M35" s="9">
        <f>SUMIFS(tbl_DCFC[F Montant HT],tbl_DCFC[Revenue_Month],M$21,tbl_DCFC[BU_Key],"SER")</f>
      </c>
      <c r="N35" s="9">
        <f>SUMIFS(tbl_DCFC[F Montant HT],tbl_DCFC[Revenue_Month],N$21,tbl_DCFC[BU_Key],"SER")</f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>
        <f>SUMIFS(tbl_DCFC[F Montant HT],tbl_DCFC[CW REV],AT$1,tbl_DCFC[BU_Key],"SER")</f>
      </c>
      <c r="AU35" s="9">
        <f>SUMIFS(tbl_DCFC[F Montant HT],tbl_DCFC[CW REV],AU$1,tbl_DCFC[BU_Key],"SER")</f>
      </c>
      <c r="AV35" s="9">
        <f>SUMIFS(tbl_DCFC[F Montant HT],tbl_DCFC[CW REV],AV$1,tbl_DCFC[BU_Key],"SER")</f>
      </c>
      <c r="AW35" s="9">
        <f>SUMIFS(tbl_DCFC[F Montant HT],tbl_DCFC[CW REV],AW$1,tbl_DCFC[BU_Key],"SER")</f>
      </c>
      <c r="AX35" s="9">
        <f>SUMIFS(tbl_DCFC[F Montant HT],tbl_DCFC[CW REV],AX$1,tbl_DCFC[BU_Key],"SER")</f>
      </c>
      <c r="AY35" s="9">
        <f>SUMIFS(tbl_DCFC[F Montant HT],tbl_DCFC[CW REV],AY$1,tbl_DCFC[BU_Key],"SER")</f>
      </c>
      <c r="AZ35" s="9">
        <f>SUMIFS(tbl_DCFC[F Montant HT],tbl_DCFC[CW REV],AZ$1,tbl_DCFC[BU_Key],"SER")</f>
      </c>
      <c r="BA35" s="9">
        <f>SUMIFS(tbl_DCFC[F Montant HT],tbl_DCFC[CW REV],BA$1,tbl_DCFC[BU_Key],"SER")</f>
      </c>
      <c r="BB35" s="9">
        <f>SUMIFS(tbl_DCFC[F Montant HT],tbl_DCFC[CW REV],BB$1,tbl_DCFC[BU_Key],"SER")</f>
      </c>
    </row>
    <row x14ac:dyDescent="0.25" r="36" customHeight="1" ht="19.5">
      <c r="A36" s="3"/>
      <c r="B36" s="415" t="s">
        <v>458</v>
      </c>
      <c r="C36" s="159">
        <f>SUMIFS(tbl_DCFC[F Montant HT],tbl_DCFC[Revenue_Month],C$21,tbl_DCFC[BU_Key],"INT")</f>
      </c>
      <c r="D36" s="159">
        <f>SUMIFS(tbl_DCFC[F Montant HT],tbl_DCFC[Revenue_Month],D$21,tbl_DCFC[BU_Key],"INT")</f>
      </c>
      <c r="E36" s="159">
        <f>SUMIFS(tbl_DCFC[F Montant HT],tbl_DCFC[Revenue_Month],E$21,tbl_DCFC[BU_Key],"INT")</f>
      </c>
      <c r="F36" s="159">
        <f>SUMIFS(tbl_DCFC[F Montant HT],tbl_DCFC[Revenue_Month],F$21,tbl_DCFC[BU_Key],"INT")</f>
      </c>
      <c r="G36" s="159">
        <f>SUMIFS(tbl_DCFC[F Montant HT],tbl_DCFC[Revenue_Month],G$21,tbl_DCFC[BU_Key],"INT")</f>
      </c>
      <c r="H36" s="159">
        <f>SUMIFS(tbl_DCFC[F Montant HT],tbl_DCFC[Revenue_Month],H$21,tbl_DCFC[BU_Key],"INT")</f>
      </c>
      <c r="I36" s="159">
        <f>SUMIFS(tbl_DCFC[F Montant HT],tbl_DCFC[Revenue_Month],I$21,tbl_DCFC[BU_Key],"INT")</f>
      </c>
      <c r="J36" s="159">
        <f>SUMIFS(tbl_DCFC[F Montant HT],tbl_DCFC[Revenue_Month],J$21,tbl_DCFC[BU_Key],"INT")</f>
      </c>
      <c r="K36" s="159">
        <f>SUMIFS(tbl_DCFC[F Montant HT],tbl_DCFC[Revenue_Month],K$21,tbl_DCFC[BU_Key],"INT")</f>
      </c>
      <c r="L36" s="159">
        <f>SUMIFS(tbl_DCFC[F Montant HT],tbl_DCFC[Revenue_Month],L$21,tbl_DCFC[BU_Key],"INT")</f>
      </c>
      <c r="M36" s="159">
        <f>SUMIFS(tbl_DCFC[F Montant HT],tbl_DCFC[Revenue_Month],M$21,tbl_DCFC[BU_Key],"INT")</f>
      </c>
      <c r="N36" s="159">
        <f>SUMIFS(tbl_DCFC[F Montant HT],tbl_DCFC[Revenue_Month],N$21,tbl_DCFC[BU_Key],"INT")</f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>
        <f>SUMIFS(tbl_DCFC[F Montant HT],tbl_DCFC[CW REV],AT$1,tbl_DCFC[BU_Key],"INT")</f>
      </c>
      <c r="AU36" s="159">
        <f>SUMIFS(tbl_DCFC[F Montant HT],tbl_DCFC[CW REV],AU$1,tbl_DCFC[BU_Key],"INT")</f>
      </c>
      <c r="AV36" s="159">
        <f>SUMIFS(tbl_DCFC[F Montant HT],tbl_DCFC[CW REV],AV$1,tbl_DCFC[BU_Key],"INT")</f>
      </c>
      <c r="AW36" s="159">
        <f>SUMIFS(tbl_DCFC[F Montant HT],tbl_DCFC[CW REV],AW$1,tbl_DCFC[BU_Key],"INT")</f>
      </c>
      <c r="AX36" s="159">
        <f>SUMIFS(tbl_DCFC[F Montant HT],tbl_DCFC[CW REV],AX$1,tbl_DCFC[BU_Key],"INT")</f>
      </c>
      <c r="AY36" s="159">
        <f>SUMIFS(tbl_DCFC[F Montant HT],tbl_DCFC[CW REV],AY$1,tbl_DCFC[BU_Key],"INT")</f>
      </c>
      <c r="AZ36" s="159">
        <f>SUMIFS(tbl_DCFC[F Montant HT],tbl_DCFC[CW REV],AZ$1,tbl_DCFC[BU_Key],"INT")</f>
      </c>
      <c r="BA36" s="159">
        <f>SUMIFS(tbl_DCFC[F Montant HT],tbl_DCFC[CW REV],BA$1,tbl_DCFC[BU_Key],"INT")</f>
      </c>
      <c r="BB36" s="159">
        <f>SUMIFS(tbl_DCFC[F Montant HT],tbl_DCFC[CW REV],BB$1,tbl_DCFC[BU_Key],"INT")</f>
      </c>
    </row>
    <row x14ac:dyDescent="0.25" r="37" customHeight="1" ht="19.5">
      <c r="A37" s="3"/>
      <c r="B37" s="415" t="s">
        <v>466</v>
      </c>
      <c r="C37" s="9">
        <f>C33</f>
      </c>
      <c r="D37" s="9">
        <f>C37+D33</f>
      </c>
      <c r="E37" s="9">
        <f>D37+E33</f>
      </c>
      <c r="F37" s="9">
        <f>E37+F33</f>
      </c>
      <c r="G37" s="9">
        <f>F37+G33</f>
      </c>
      <c r="H37" s="9">
        <f>G37+H33</f>
      </c>
      <c r="I37" s="9">
        <f>H37+I33</f>
      </c>
      <c r="J37" s="9">
        <f>I37+J33</f>
      </c>
      <c r="K37" s="9">
        <f>J37+K33</f>
      </c>
      <c r="L37" s="9">
        <f>K37+L33</f>
      </c>
      <c r="M37" s="9">
        <f>L37+M33</f>
      </c>
      <c r="N37" s="9">
        <f>M37+N33</f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>
        <f>AS37+AT33</f>
      </c>
      <c r="AU37" s="9">
        <f>AT37+AU33</f>
      </c>
      <c r="AV37" s="9">
        <f>AU37+AV33</f>
      </c>
      <c r="AW37" s="9">
        <f>AV37+AW33</f>
      </c>
      <c r="AX37" s="9">
        <f>AW37+AX33</f>
      </c>
      <c r="AY37" s="9">
        <f>AX37+AY33</f>
      </c>
      <c r="AZ37" s="9">
        <f>AY37+AZ33</f>
      </c>
      <c r="BA37" s="9">
        <f>AZ37+BA33</f>
      </c>
      <c r="BB37" s="9">
        <f>BA37+BB33</f>
      </c>
    </row>
    <row x14ac:dyDescent="0.25" r="38" customHeight="1" ht="19.5">
      <c r="A38" s="3"/>
      <c r="B38" s="415" t="s">
        <v>467</v>
      </c>
      <c r="C38" s="9">
        <f>C34</f>
      </c>
      <c r="D38" s="9">
        <f>C38+D34</f>
      </c>
      <c r="E38" s="9">
        <f>D38+E34</f>
      </c>
      <c r="F38" s="9">
        <f>E38+F34</f>
      </c>
      <c r="G38" s="9">
        <f>F38+G34</f>
      </c>
      <c r="H38" s="9">
        <f>G38+H34</f>
      </c>
      <c r="I38" s="9">
        <f>H38+I34</f>
      </c>
      <c r="J38" s="9">
        <f>I38+J34</f>
      </c>
      <c r="K38" s="9">
        <f>J38+K34</f>
      </c>
      <c r="L38" s="9">
        <f>K38+L34</f>
      </c>
      <c r="M38" s="9">
        <f>L38+M34</f>
      </c>
      <c r="N38" s="9">
        <f>M38+N34</f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>
        <f>AS38+AT34</f>
      </c>
      <c r="AU38" s="9">
        <f>AT38+AU34</f>
      </c>
      <c r="AV38" s="9">
        <f>AU38+AV34</f>
      </c>
      <c r="AW38" s="9">
        <f>AV38+AW34</f>
      </c>
      <c r="AX38" s="9">
        <f>AW38+AX34</f>
      </c>
      <c r="AY38" s="9">
        <f>AX38+AY34</f>
      </c>
      <c r="AZ38" s="9">
        <f>AY38+AZ34</f>
      </c>
      <c r="BA38" s="9">
        <f>AZ38+BA34</f>
      </c>
      <c r="BB38" s="9">
        <f>BA38+BB34</f>
      </c>
    </row>
    <row x14ac:dyDescent="0.25" r="39" customHeight="1" ht="19.5">
      <c r="A39" s="3"/>
      <c r="B39" s="415" t="s">
        <v>468</v>
      </c>
      <c r="C39" s="9">
        <f>C35</f>
      </c>
      <c r="D39" s="9">
        <f>C39+D35</f>
      </c>
      <c r="E39" s="9">
        <f>D39+E35</f>
      </c>
      <c r="F39" s="9">
        <f>E39+F35</f>
      </c>
      <c r="G39" s="9">
        <f>F39+G35</f>
      </c>
      <c r="H39" s="9">
        <f>G39+H35</f>
      </c>
      <c r="I39" s="9">
        <f>H39+I35</f>
      </c>
      <c r="J39" s="9">
        <f>I39+J35</f>
      </c>
      <c r="K39" s="9">
        <f>J39+K35</f>
      </c>
      <c r="L39" s="9">
        <f>K39+L35</f>
      </c>
      <c r="M39" s="9">
        <f>L39+M35</f>
      </c>
      <c r="N39" s="9">
        <f>M39+N35</f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>
        <f>AS39+AT35</f>
      </c>
      <c r="AU39" s="9">
        <f>AT39+AU35</f>
      </c>
      <c r="AV39" s="9">
        <f>AU39+AV35</f>
      </c>
      <c r="AW39" s="9">
        <f>AV39+AW35</f>
      </c>
      <c r="AX39" s="9">
        <f>AW39+AX35</f>
      </c>
      <c r="AY39" s="9">
        <f>AX39+AY35</f>
      </c>
      <c r="AZ39" s="9">
        <f>AY39+AZ35</f>
      </c>
      <c r="BA39" s="9">
        <f>AZ39+BA35</f>
      </c>
      <c r="BB39" s="9">
        <f>BA39+BB35</f>
      </c>
    </row>
    <row x14ac:dyDescent="0.25" r="40" customHeight="1" ht="19.5">
      <c r="A40" s="3"/>
      <c r="B40" s="415" t="s">
        <v>469</v>
      </c>
      <c r="C40" s="9">
        <f>C36</f>
      </c>
      <c r="D40" s="9">
        <f>C40+D36</f>
      </c>
      <c r="E40" s="9">
        <f>D40+E36</f>
      </c>
      <c r="F40" s="9">
        <f>E40+F36</f>
      </c>
      <c r="G40" s="9">
        <f>F40+G36</f>
      </c>
      <c r="H40" s="9">
        <f>G40+H36</f>
      </c>
      <c r="I40" s="9">
        <f>H40+I36</f>
      </c>
      <c r="J40" s="9">
        <f>I40+J36</f>
      </c>
      <c r="K40" s="9">
        <f>J40+K36</f>
      </c>
      <c r="L40" s="9">
        <f>K40+L36</f>
      </c>
      <c r="M40" s="9">
        <f>L40+M36</f>
      </c>
      <c r="N40" s="9">
        <f>M40+N36</f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>
        <f>AS40+AT36</f>
      </c>
      <c r="AU40" s="9">
        <f>AT40+AU36</f>
      </c>
      <c r="AV40" s="9">
        <f>AU40+AV36</f>
      </c>
      <c r="AW40" s="9">
        <f>AV40+AW36</f>
      </c>
      <c r="AX40" s="9">
        <f>AW40+AX36</f>
      </c>
      <c r="AY40" s="9">
        <f>AX40+AY36</f>
      </c>
      <c r="AZ40" s="9">
        <f>AY40+AZ36</f>
      </c>
      <c r="BA40" s="9">
        <f>AZ40+BA36</f>
      </c>
      <c r="BB40" s="9">
        <f>BA40+BB36</f>
      </c>
    </row>
    <row x14ac:dyDescent="0.25" r="41" customHeight="1" ht="19.5">
      <c r="A41" s="3"/>
      <c r="B41" s="402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</row>
    <row x14ac:dyDescent="0.25" r="42" customHeight="1" ht="19.5">
      <c r="A42" s="3"/>
      <c r="B42" s="40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</row>
    <row x14ac:dyDescent="0.25" r="43" customHeight="1" ht="19.5">
      <c r="A43" s="3"/>
      <c r="B43" s="402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</row>
    <row x14ac:dyDescent="0.25" r="44" customHeight="1" ht="19.5">
      <c r="A44" s="3"/>
      <c r="B44" s="41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</row>
    <row x14ac:dyDescent="0.25" r="45" customHeight="1" ht="19.5">
      <c r="A45" s="3"/>
      <c r="B45" s="402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</row>
    <row x14ac:dyDescent="0.25" r="46" customHeight="1" ht="19.5">
      <c r="A46" s="3"/>
      <c r="B46" s="125" t="s">
        <v>470</v>
      </c>
      <c r="C46" s="9">
        <f>SUMIFS(Data!$AD$3:$AD$178,Data!$Z$3:$Z$178,C$21,Data!$Y$3:$Y$178,"2021",Data!$K$3:$K$178,'Reporting 2021'!$B15)</f>
      </c>
      <c r="D46" s="9">
        <f>SUMIFS(Data!$AD$3:$AD$178,Data!$Z$3:$Z$178,D$21,Data!$Y$3:$Y$178,"2021",Data!$K$3:$K$178,'Reporting 2021'!$B15)</f>
      </c>
      <c r="E46" s="9">
        <f>SUMIFS(Data!$AD$3:$AD$178,Data!$Z$3:$Z$178,E$21,Data!$Y$3:$Y$178,"2021",Data!$K$3:$K$178,'Reporting 2021'!$B15)</f>
      </c>
      <c r="F46" s="9">
        <f>SUMIFS(Data!$AD$3:$AD$178,Data!$Z$3:$Z$178,F$21,Data!$Y$3:$Y$178,"2021",Data!$K$3:$K$178,'Reporting 2021'!$B15)</f>
      </c>
      <c r="G46" s="9">
        <f>SUMIFS(Data!$AD$3:$AD$178,Data!$Z$3:$Z$178,G$21,Data!$Y$3:$Y$178,"2021",Data!$K$3:$K$178,'Reporting 2021'!$B15)</f>
      </c>
      <c r="H46" s="9">
        <f>SUMIFS(Data!$AD$3:$AD$178,Data!$Z$3:$Z$178,H$21,Data!$Y$3:$Y$178,"2021",Data!$K$3:$K$178,'Reporting 2021'!$B15)</f>
      </c>
      <c r="I46" s="9">
        <f>SUMIFS(Data!$AD$3:$AD$178,Data!$Z$3:$Z$178,I$21,Data!$Y$3:$Y$178,"2021",Data!$K$3:$K$178,'Reporting 2021'!$B15)</f>
      </c>
      <c r="J46" s="9">
        <f>SUMIFS(Data!$AD$3:$AD$178,Data!$Z$3:$Z$178,J$21,Data!$Y$3:$Y$178,"2021",Data!$K$3:$K$178,'Reporting 2021'!$B15)</f>
      </c>
      <c r="K46" s="9">
        <f>SUMIFS(Data!$AD$3:$AD$178,Data!$Z$3:$Z$178,K$21,Data!$Y$3:$Y$178,"2021",Data!$K$3:$K$178,'Reporting 2021'!$B15)</f>
      </c>
      <c r="L46" s="9">
        <f>SUMIFS(Data!$AD$3:$AD$178,Data!$Z$3:$Z$178,L$21,Data!$Y$3:$Y$178,"2021",Data!$K$3:$K$178,'Reporting 2021'!$B15)</f>
      </c>
      <c r="M46" s="9">
        <f>SUMIFS(Data!$AD$3:$AD$178,Data!$Z$3:$Z$178,M$21,Data!$Y$3:$Y$178,"2021",Data!$K$3:$K$178,'Reporting 2021'!$B15)</f>
      </c>
      <c r="N46" s="9">
        <f>SUMIFS(Data!$AD$3:$AD$178,Data!$Z$3:$Z$178,N$21,Data!$Y$3:$Y$178,"2021",Data!$K$3:$K$178,'Reporting 2021'!$B15)</f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x14ac:dyDescent="0.25" r="47" customHeight="1" ht="19.5">
      <c r="A47" s="3"/>
      <c r="B47" s="125" t="s">
        <v>471</v>
      </c>
      <c r="C47" s="9">
        <f>SUMIFS(Data!$AD$3:$AD$178,Data!$Z$3:$Z$178,C$21,Data!$Y$3:$Y$178,"2021",Data!$K$3:$K$178,'Reporting 2021'!$B16)</f>
      </c>
      <c r="D47" s="9">
        <f>SUMIFS(Data!$AD$3:$AD$178,Data!$Z$3:$Z$178,D$21,Data!$Y$3:$Y$178,"2021",Data!$K$3:$K$178,'Reporting 2021'!$B16)</f>
      </c>
      <c r="E47" s="9">
        <f>SUMIFS(Data!$AD$3:$AD$178,Data!$Z$3:$Z$178,E$21,Data!$Y$3:$Y$178,"2021",Data!$K$3:$K$178,'Reporting 2021'!$B16)</f>
      </c>
      <c r="F47" s="9">
        <f>SUMIFS(Data!$AD$3:$AD$178,Data!$Z$3:$Z$178,F$21,Data!$Y$3:$Y$178,"2021",Data!$K$3:$K$178,'Reporting 2021'!$B16)</f>
      </c>
      <c r="G47" s="9">
        <f>SUMIFS(Data!$AD$3:$AD$178,Data!$Z$3:$Z$178,G$21,Data!$Y$3:$Y$178,"2021",Data!$K$3:$K$178,'Reporting 2021'!$B16)</f>
      </c>
      <c r="H47" s="9">
        <f>SUMIFS(Data!$AD$3:$AD$178,Data!$Z$3:$Z$178,H$21,Data!$Y$3:$Y$178,"2021",Data!$K$3:$K$178,'Reporting 2021'!$B16)</f>
      </c>
      <c r="I47" s="9">
        <f>SUMIFS(Data!$AD$3:$AD$178,Data!$Z$3:$Z$178,I$21,Data!$Y$3:$Y$178,"2021",Data!$K$3:$K$178,'Reporting 2021'!$B16)</f>
      </c>
      <c r="J47" s="9">
        <f>SUMIFS(Data!$AD$3:$AD$178,Data!$Z$3:$Z$178,J$21,Data!$Y$3:$Y$178,"2021",Data!$K$3:$K$178,'Reporting 2021'!$B16)</f>
      </c>
      <c r="K47" s="9">
        <f>SUMIFS(Data!$AD$3:$AD$178,Data!$Z$3:$Z$178,K$21,Data!$Y$3:$Y$178,"2021",Data!$K$3:$K$178,'Reporting 2021'!$B16)</f>
      </c>
      <c r="L47" s="9">
        <f>SUMIFS(Data!$AD$3:$AD$178,Data!$Z$3:$Z$178,L$21,Data!$Y$3:$Y$178,"2021",Data!$K$3:$K$178,'Reporting 2021'!$B16)</f>
      </c>
      <c r="M47" s="9">
        <f>SUMIFS(Data!$AD$3:$AD$178,Data!$Z$3:$Z$178,M$21,Data!$Y$3:$Y$178,"2021",Data!$K$3:$K$178,'Reporting 2021'!$B16)</f>
      </c>
      <c r="N47" s="9">
        <f>SUMIFS(Data!$AD$3:$AD$178,Data!$Z$3:$Z$178,N$21,Data!$Y$3:$Y$178,"2021",Data!$K$3:$K$178,'Reporting 2021'!$B16)</f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x14ac:dyDescent="0.25" r="48" customHeight="1" ht="19.5">
      <c r="A48" s="3"/>
      <c r="B48" s="125" t="s">
        <v>472</v>
      </c>
      <c r="C48" s="9">
        <f>SUMIFS(Data!$AD$3:$AD$178,Data!$Z$3:$Z$178,C$21,Data!$Y$3:$Y$178,"2021",Data!$K$3:$K$178,'Reporting 2021'!$B17)</f>
      </c>
      <c r="D48" s="9">
        <f>SUMIFS(Data!$AD$3:$AD$178,Data!$Z$3:$Z$178,D$21,Data!$Y$3:$Y$178,"2021",Data!$K$3:$K$178,'Reporting 2021'!$B17)</f>
      </c>
      <c r="E48" s="9">
        <f>SUMIFS(Data!$AD$3:$AD$178,Data!$Z$3:$Z$178,E$21,Data!$Y$3:$Y$178,"2021",Data!$K$3:$K$178,'Reporting 2021'!$B17)</f>
      </c>
      <c r="F48" s="9">
        <f>SUMIFS(Data!$AD$3:$AD$178,Data!$Z$3:$Z$178,F$21,Data!$Y$3:$Y$178,"2021",Data!$K$3:$K$178,'Reporting 2021'!$B17)</f>
      </c>
      <c r="G48" s="9">
        <f>SUMIFS(Data!$AD$3:$AD$178,Data!$Z$3:$Z$178,G$21,Data!$Y$3:$Y$178,"2021",Data!$K$3:$K$178,'Reporting 2021'!$B17)</f>
      </c>
      <c r="H48" s="9">
        <f>SUMIFS(Data!$AD$3:$AD$178,Data!$Z$3:$Z$178,H$21,Data!$Y$3:$Y$178,"2021",Data!$K$3:$K$178,'Reporting 2021'!$B17)</f>
      </c>
      <c r="I48" s="9">
        <f>SUMIFS(Data!$AD$3:$AD$178,Data!$Z$3:$Z$178,I$21,Data!$Y$3:$Y$178,"2021",Data!$K$3:$K$178,'Reporting 2021'!$B17)</f>
      </c>
      <c r="J48" s="9">
        <f>SUMIFS(Data!$AD$3:$AD$178,Data!$Z$3:$Z$178,J$21,Data!$Y$3:$Y$178,"2021",Data!$K$3:$K$178,'Reporting 2021'!$B17)</f>
      </c>
      <c r="K48" s="9">
        <f>SUMIFS(Data!$AD$3:$AD$178,Data!$Z$3:$Z$178,K$21,Data!$Y$3:$Y$178,"2021",Data!$K$3:$K$178,'Reporting 2021'!$B17)</f>
      </c>
      <c r="L48" s="9">
        <f>SUMIFS(Data!$AD$3:$AD$178,Data!$Z$3:$Z$178,L$21,Data!$Y$3:$Y$178,"2021",Data!$K$3:$K$178,'Reporting 2021'!$B17)</f>
      </c>
      <c r="M48" s="9">
        <f>SUMIFS(Data!$AD$3:$AD$178,Data!$Z$3:$Z$178,M$21,Data!$Y$3:$Y$178,"2021",Data!$K$3:$K$178,'Reporting 2021'!$B17)</f>
      </c>
      <c r="N48" s="9">
        <f>SUMIFS(Data!$AD$3:$AD$178,Data!$Z$3:$Z$178,N$21,Data!$Y$3:$Y$178,"2021",Data!$K$3:$K$178,'Reporting 2021'!$B17)</f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x14ac:dyDescent="0.25" r="49" customHeight="1" ht="19.5">
      <c r="A49" s="3"/>
      <c r="B49" s="125" t="s">
        <v>473</v>
      </c>
      <c r="C49" s="9">
        <f>SUMIFS(Data!$AD$3:$AD$178,Data!$Z$3:$Z$178,C$21,Data!$Y$3:$Y$178,"2021",Data!$K$3:$K$178,'Reporting 2021'!$B18)</f>
      </c>
      <c r="D49" s="9">
        <f>SUMIFS(Data!$AD$3:$AD$178,Data!$Z$3:$Z$178,D$21,Data!$Y$3:$Y$178,"2021",Data!$K$3:$K$178,'Reporting 2021'!$B18)</f>
      </c>
      <c r="E49" s="9">
        <f>SUMIFS(Data!$AD$3:$AD$178,Data!$Z$3:$Z$178,E$21,Data!$Y$3:$Y$178,"2021",Data!$K$3:$K$178,'Reporting 2021'!$B18)</f>
      </c>
      <c r="F49" s="9">
        <f>SUMIFS(Data!$AD$3:$AD$178,Data!$Z$3:$Z$178,F$21,Data!$Y$3:$Y$178,"2021",Data!$K$3:$K$178,'Reporting 2021'!$B18)</f>
      </c>
      <c r="G49" s="9">
        <f>SUMIFS(Data!$AD$3:$AD$178,Data!$Z$3:$Z$178,G$21,Data!$Y$3:$Y$178,"2021",Data!$K$3:$K$178,'Reporting 2021'!$B18)</f>
      </c>
      <c r="H49" s="9">
        <f>SUMIFS(Data!$AD$3:$AD$178,Data!$Z$3:$Z$178,H$21,Data!$Y$3:$Y$178,"2021",Data!$K$3:$K$178,'Reporting 2021'!$B18)</f>
      </c>
      <c r="I49" s="9">
        <f>SUMIFS(Data!$AD$3:$AD$178,Data!$Z$3:$Z$178,I$21,Data!$Y$3:$Y$178,"2021",Data!$K$3:$K$178,'Reporting 2021'!$B18)</f>
      </c>
      <c r="J49" s="9">
        <f>SUMIFS(Data!$AD$3:$AD$178,Data!$Z$3:$Z$178,J$21,Data!$Y$3:$Y$178,"2021",Data!$K$3:$K$178,'Reporting 2021'!$B18)</f>
      </c>
      <c r="K49" s="9">
        <f>SUMIFS(Data!$AD$3:$AD$178,Data!$Z$3:$Z$178,K$21,Data!$Y$3:$Y$178,"2021",Data!$K$3:$K$178,'Reporting 2021'!$B18)</f>
      </c>
      <c r="L49" s="9">
        <f>SUMIFS(Data!$AD$3:$AD$178,Data!$Z$3:$Z$178,L$21,Data!$Y$3:$Y$178,"2021",Data!$K$3:$K$178,'Reporting 2021'!$B18)</f>
      </c>
      <c r="M49" s="9">
        <f>SUMIFS(Data!$AD$3:$AD$178,Data!$Z$3:$Z$178,M$21,Data!$Y$3:$Y$178,"2021",Data!$K$3:$K$178,'Reporting 2021'!$B18)</f>
      </c>
      <c r="N49" s="9">
        <f>SUMIFS(Data!$AD$3:$AD$178,Data!$Z$3:$Z$178,N$21,Data!$Y$3:$Y$178,"2021",Data!$K$3:$K$178,'Reporting 2021'!$B18)</f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x14ac:dyDescent="0.25" r="50" customHeight="1" ht="19.5">
      <c r="A50" s="3"/>
      <c r="B50" s="125" t="s">
        <v>474</v>
      </c>
      <c r="C50" s="9">
        <f>SUMIFS(Data!$AD$3:$AD$178,Data!$Z$3:$Z$178,C$21,Data!$Y$3:$Y$178,"2021",Data!$K$3:$K$178,'Reporting 2021'!$B19)</f>
      </c>
      <c r="D50" s="9">
        <f>SUMIFS(Data!$AD$3:$AD$178,Data!$Z$3:$Z$178,D$21,Data!$Y$3:$Y$178,"2021",Data!$K$3:$K$178,'Reporting 2021'!$B19)</f>
      </c>
      <c r="E50" s="9">
        <f>SUMIFS(Data!$AD$3:$AD$178,Data!$Z$3:$Z$178,E$21,Data!$Y$3:$Y$178,"2021",Data!$K$3:$K$178,'Reporting 2021'!$B19)</f>
      </c>
      <c r="F50" s="9">
        <f>SUMIFS(Data!$AD$3:$AD$178,Data!$Z$3:$Z$178,F$21,Data!$Y$3:$Y$178,"2021",Data!$K$3:$K$178,'Reporting 2021'!$B19)</f>
      </c>
      <c r="G50" s="9">
        <f>SUMIFS(Data!$AD$3:$AD$178,Data!$Z$3:$Z$178,G$21,Data!$Y$3:$Y$178,"2021",Data!$K$3:$K$178,'Reporting 2021'!$B19)</f>
      </c>
      <c r="H50" s="9">
        <f>SUMIFS(Data!$AD$3:$AD$178,Data!$Z$3:$Z$178,H$21,Data!$Y$3:$Y$178,"2021",Data!$K$3:$K$178,'Reporting 2021'!$B19)</f>
      </c>
      <c r="I50" s="9">
        <f>SUMIFS(Data!$AD$3:$AD$178,Data!$Z$3:$Z$178,I$21,Data!$Y$3:$Y$178,"2021",Data!$K$3:$K$178,'Reporting 2021'!$B19)</f>
      </c>
      <c r="J50" s="9">
        <f>SUMIFS(Data!$AD$3:$AD$178,Data!$Z$3:$Z$178,J$21,Data!$Y$3:$Y$178,"2021",Data!$K$3:$K$178,'Reporting 2021'!$B19)</f>
      </c>
      <c r="K50" s="9">
        <f>SUMIFS(Data!$AD$3:$AD$178,Data!$Z$3:$Z$178,K$21,Data!$Y$3:$Y$178,"2021",Data!$K$3:$K$178,'Reporting 2021'!$B19)</f>
      </c>
      <c r="L50" s="9">
        <f>SUMIFS(Data!$AD$3:$AD$178,Data!$Z$3:$Z$178,L$21,Data!$Y$3:$Y$178,"2021",Data!$K$3:$K$178,'Reporting 2021'!$B19)</f>
      </c>
      <c r="M50" s="9">
        <f>SUMIFS(Data!$AD$3:$AD$178,Data!$Z$3:$Z$178,M$21,Data!$Y$3:$Y$178,"2021",Data!$K$3:$K$178,'Reporting 2021'!$B19)</f>
      </c>
      <c r="N50" s="9">
        <f>SUMIFS(Data!$AD$3:$AD$178,Data!$Z$3:$Z$178,N$21,Data!$Y$3:$Y$178,"2021",Data!$K$3:$K$178,'Reporting 2021'!$B19)</f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x14ac:dyDescent="0.25" r="51" customHeight="1" ht="15">
      <c r="A51" s="3"/>
      <c r="B51" s="125" t="s">
        <v>475</v>
      </c>
      <c r="C51" s="9">
        <f>SUMIFS(Data!$AD$3:$AD$178,Data!$Z$3:$Z$178,C$21,Data!$Y$3:$Y$178,"2021",Data!$K$3:$K$178,'Reporting 2021'!$B20)</f>
      </c>
      <c r="D51" s="9">
        <f>SUMIFS(Data!$AD$3:$AD$178,Data!$Z$3:$Z$178,D$21,Data!$Y$3:$Y$178,"2021",Data!$K$3:$K$178,'Reporting 2021'!$B20)</f>
      </c>
      <c r="E51" s="9">
        <f>SUMIFS(Data!$AD$3:$AD$178,Data!$Z$3:$Z$178,E$21,Data!$Y$3:$Y$178,"2021",Data!$K$3:$K$178,'Reporting 2021'!$B20)</f>
      </c>
      <c r="F51" s="9">
        <f>SUMIFS(Data!$AD$3:$AD$178,Data!$Z$3:$Z$178,F$21,Data!$Y$3:$Y$178,"2021",Data!$K$3:$K$178,'Reporting 2021'!$B20)</f>
      </c>
      <c r="G51" s="9">
        <f>SUMIFS(Data!$AD$3:$AD$178,Data!$Z$3:$Z$178,G$21,Data!$Y$3:$Y$178,"2021",Data!$K$3:$K$178,'Reporting 2021'!$B20)</f>
      </c>
      <c r="H51" s="9">
        <f>SUMIFS(Data!$AD$3:$AD$178,Data!$Z$3:$Z$178,H$21,Data!$Y$3:$Y$178,"2021",Data!$K$3:$K$178,'Reporting 2021'!$B20)</f>
      </c>
      <c r="I51" s="9">
        <f>SUMIFS(Data!$AD$3:$AD$178,Data!$Z$3:$Z$178,I$21,Data!$Y$3:$Y$178,"2021",Data!$K$3:$K$178,'Reporting 2021'!$B20)</f>
      </c>
      <c r="J51" s="9">
        <f>SUMIFS(Data!$AD$3:$AD$178,Data!$Z$3:$Z$178,J$21,Data!$Y$3:$Y$178,"2021",Data!$K$3:$K$178,'Reporting 2021'!$B20)</f>
      </c>
      <c r="K51" s="9">
        <f>SUMIFS(Data!$AD$3:$AD$178,Data!$Z$3:$Z$178,K$21,Data!$Y$3:$Y$178,"2021",Data!$K$3:$K$178,'Reporting 2021'!$B20)</f>
      </c>
      <c r="L51" s="9">
        <f>SUMIFS(Data!$AD$3:$AD$178,Data!$Z$3:$Z$178,L$21,Data!$Y$3:$Y$178,"2021",Data!$K$3:$K$178,'Reporting 2021'!$B20)</f>
      </c>
      <c r="M51" s="9">
        <f>SUMIFS(Data!$AD$3:$AD$178,Data!$Z$3:$Z$178,M$21,Data!$Y$3:$Y$178,"2021",Data!$K$3:$K$178,'Reporting 2021'!$B20)</f>
      </c>
      <c r="N51" s="9">
        <f>SUMIFS(Data!$AD$3:$AD$178,Data!$Z$3:$Z$178,N$21,Data!$Y$3:$Y$178,"2021",Data!$K$3:$K$178,'Reporting 2021'!$B20)</f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x14ac:dyDescent="0.25" r="52" customHeight="1" ht="15">
      <c r="A52" s="3"/>
      <c r="B52" s="125" t="s">
        <v>476</v>
      </c>
      <c r="C52" s="9">
        <f>SUMIFS(Data!$AD$3:$AD$178,Data!$Z$3:$Z$178,C$21,Data!$Y$3:$Y$178,"2021",Data!$K$3:$K$178,'Reporting 2021'!$B21)</f>
      </c>
      <c r="D52" s="9">
        <f>SUMIFS(Data!$AD$3:$AD$178,Data!$Z$3:$Z$178,D$21,Data!$Y$3:$Y$178,"2021",Data!$K$3:$K$178,'Reporting 2021'!$B21)</f>
      </c>
      <c r="E52" s="9">
        <f>SUMIFS(Data!$AD$3:$AD$178,Data!$Z$3:$Z$178,E$21,Data!$Y$3:$Y$178,"2021",Data!$K$3:$K$178,'Reporting 2021'!$B21)</f>
      </c>
      <c r="F52" s="9">
        <f>SUMIFS(Data!$AD$3:$AD$178,Data!$Z$3:$Z$178,F$21,Data!$Y$3:$Y$178,"2021",Data!$K$3:$K$178,'Reporting 2021'!$B21)</f>
      </c>
      <c r="G52" s="9">
        <f>SUMIFS(Data!$AD$3:$AD$178,Data!$Z$3:$Z$178,G$21,Data!$Y$3:$Y$178,"2021",Data!$K$3:$K$178,'Reporting 2021'!$B21)</f>
      </c>
      <c r="H52" s="9">
        <f>SUMIFS(Data!$AD$3:$AD$178,Data!$Z$3:$Z$178,H$21,Data!$Y$3:$Y$178,"2021",Data!$K$3:$K$178,'Reporting 2021'!$B21)</f>
      </c>
      <c r="I52" s="9">
        <f>SUMIFS(Data!$AD$3:$AD$178,Data!$Z$3:$Z$178,I$21,Data!$Y$3:$Y$178,"2021",Data!$K$3:$K$178,'Reporting 2021'!$B21)</f>
      </c>
      <c r="J52" s="9">
        <f>SUMIFS(Data!$AD$3:$AD$178,Data!$Z$3:$Z$178,J$21,Data!$Y$3:$Y$178,"2021",Data!$K$3:$K$178,'Reporting 2021'!$B21)</f>
      </c>
      <c r="K52" s="9">
        <f>SUMIFS(Data!$AD$3:$AD$178,Data!$Z$3:$Z$178,K$21,Data!$Y$3:$Y$178,"2021",Data!$K$3:$K$178,'Reporting 2021'!$B21)</f>
      </c>
      <c r="L52" s="9">
        <f>SUMIFS(Data!$AD$3:$AD$178,Data!$Z$3:$Z$178,L$21,Data!$Y$3:$Y$178,"2021",Data!$K$3:$K$178,'Reporting 2021'!$B21)</f>
      </c>
      <c r="M52" s="9">
        <f>SUMIFS(Data!$AD$3:$AD$178,Data!$Z$3:$Z$178,M$21,Data!$Y$3:$Y$178,"2021",Data!$K$3:$K$178,'Reporting 2021'!$B21)</f>
      </c>
      <c r="N52" s="9">
        <f>SUMIFS(Data!$AD$3:$AD$178,Data!$Z$3:$Z$178,N$21,Data!$Y$3:$Y$178,"2021",Data!$K$3:$K$178,'Reporting 2021'!$B21)</f>
      </c>
      <c r="O52" s="3"/>
      <c r="P52" s="3"/>
      <c r="Q52" s="42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x14ac:dyDescent="0.25" r="53" customHeight="1" ht="19.5">
      <c r="A53" s="3"/>
      <c r="B53" s="125" t="s">
        <v>477</v>
      </c>
      <c r="C53" s="9">
        <f>SUMIFS(Data!$AD$3:$AD$178,Data!$Z$3:$Z$178,C$21,Data!$Y$3:$Y$178,"2021",Data!$K$3:$K$178,'Reporting 2021'!$B22)</f>
      </c>
      <c r="D53" s="9">
        <f>SUMIFS(Data!$AD$3:$AD$178,Data!$Z$3:$Z$178,D$21,Data!$Y$3:$Y$178,"2021",Data!$K$3:$K$178,'Reporting 2021'!$B22)</f>
      </c>
      <c r="E53" s="9">
        <f>SUMIFS(Data!$AD$3:$AD$178,Data!$Z$3:$Z$178,E$21,Data!$Y$3:$Y$178,"2021",Data!$K$3:$K$178,'Reporting 2021'!$B22)</f>
      </c>
      <c r="F53" s="9">
        <f>SUMIFS(Data!$AD$3:$AD$178,Data!$Z$3:$Z$178,F$21,Data!$Y$3:$Y$178,"2021",Data!$K$3:$K$178,'Reporting 2021'!$B22)</f>
      </c>
      <c r="G53" s="9">
        <f>SUMIFS(Data!$AD$3:$AD$178,Data!$Z$3:$Z$178,G$21,Data!$Y$3:$Y$178,"2021",Data!$K$3:$K$178,'Reporting 2021'!$B22)</f>
      </c>
      <c r="H53" s="9">
        <f>SUMIFS(Data!$AD$3:$AD$178,Data!$Z$3:$Z$178,H$21,Data!$Y$3:$Y$178,"2021",Data!$K$3:$K$178,'Reporting 2021'!$B22)</f>
      </c>
      <c r="I53" s="9">
        <f>SUMIFS(Data!$AD$3:$AD$178,Data!$Z$3:$Z$178,I$21,Data!$Y$3:$Y$178,"2021",Data!$K$3:$K$178,'Reporting 2021'!$B22)</f>
      </c>
      <c r="J53" s="9">
        <f>SUMIFS(Data!$AD$3:$AD$178,Data!$Z$3:$Z$178,J$21,Data!$Y$3:$Y$178,"2021",Data!$K$3:$K$178,'Reporting 2021'!$B22)</f>
      </c>
      <c r="K53" s="9">
        <f>SUMIFS(Data!$AD$3:$AD$178,Data!$Z$3:$Z$178,K$21,Data!$Y$3:$Y$178,"2021",Data!$K$3:$K$178,'Reporting 2021'!$B22)</f>
      </c>
      <c r="L53" s="9">
        <f>SUMIFS(Data!$AD$3:$AD$178,Data!$Z$3:$Z$178,L$21,Data!$Y$3:$Y$178,"2021",Data!$K$3:$K$178,'Reporting 2021'!$B22)</f>
      </c>
      <c r="M53" s="9">
        <f>SUMIFS(Data!$AD$3:$AD$178,Data!$Z$3:$Z$178,M$21,Data!$Y$3:$Y$178,"2021",Data!$K$3:$K$178,'Reporting 2021'!$B22)</f>
      </c>
      <c r="N53" s="9">
        <f>SUMIFS(Data!$AD$3:$AD$178,Data!$Z$3:$Z$178,N$21,Data!$Y$3:$Y$178,"2021",Data!$K$3:$K$178,'Reporting 2021'!$B22)</f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x14ac:dyDescent="0.25" r="54" customHeight="1" ht="19.5">
      <c r="A54" s="3"/>
      <c r="B54" s="125" t="s">
        <v>478</v>
      </c>
      <c r="C54" s="9">
        <f>SUMIFS(Data!$AD$3:$AD$178,Data!$Z$3:$Z$178,C$21,Data!$Y$3:$Y$178,"2021",Data!$K$3:$K$178,'Reporting 2021'!$B23)</f>
      </c>
      <c r="D54" s="9">
        <f>SUMIFS(Data!$AD$3:$AD$178,Data!$Z$3:$Z$178,D$21,Data!$Y$3:$Y$178,"2021",Data!$K$3:$K$178,'Reporting 2021'!$B23)</f>
      </c>
      <c r="E54" s="9">
        <f>SUMIFS(Data!$AD$3:$AD$178,Data!$Z$3:$Z$178,E$21,Data!$Y$3:$Y$178,"2021",Data!$K$3:$K$178,'Reporting 2021'!$B23)</f>
      </c>
      <c r="F54" s="9">
        <f>SUMIFS(Data!$AD$3:$AD$178,Data!$Z$3:$Z$178,F$21,Data!$Y$3:$Y$178,"2021",Data!$K$3:$K$178,'Reporting 2021'!$B23)</f>
      </c>
      <c r="G54" s="9">
        <f>SUMIFS(Data!$AD$3:$AD$178,Data!$Z$3:$Z$178,G$21,Data!$Y$3:$Y$178,"2021",Data!$K$3:$K$178,'Reporting 2021'!$B23)</f>
      </c>
      <c r="H54" s="9">
        <f>SUMIFS(Data!$AD$3:$AD$178,Data!$Z$3:$Z$178,H$21,Data!$Y$3:$Y$178,"2021",Data!$K$3:$K$178,'Reporting 2021'!$B23)</f>
      </c>
      <c r="I54" s="9">
        <f>SUMIFS(Data!$AD$3:$AD$178,Data!$Z$3:$Z$178,I$21,Data!$Y$3:$Y$178,"2021",Data!$K$3:$K$178,'Reporting 2021'!$B23)</f>
      </c>
      <c r="J54" s="9">
        <f>SUMIFS(Data!$AD$3:$AD$178,Data!$Z$3:$Z$178,J$21,Data!$Y$3:$Y$178,"2021",Data!$K$3:$K$178,'Reporting 2021'!$B23)</f>
      </c>
      <c r="K54" s="9">
        <f>SUMIFS(Data!$AD$3:$AD$178,Data!$Z$3:$Z$178,K$21,Data!$Y$3:$Y$178,"2021",Data!$K$3:$K$178,'Reporting 2021'!$B23)</f>
      </c>
      <c r="L54" s="9">
        <f>SUMIFS(Data!$AD$3:$AD$178,Data!$Z$3:$Z$178,L$21,Data!$Y$3:$Y$178,"2021",Data!$K$3:$K$178,'Reporting 2021'!$B23)</f>
      </c>
      <c r="M54" s="9">
        <f>SUMIFS(Data!$AD$3:$AD$178,Data!$Z$3:$Z$178,M$21,Data!$Y$3:$Y$178,"2021",Data!$K$3:$K$178,'Reporting 2021'!$B23)</f>
      </c>
      <c r="N54" s="9">
        <f>SUMIFS(Data!$AD$3:$AD$178,Data!$Z$3:$Z$178,N$21,Data!$Y$3:$Y$178,"2021",Data!$K$3:$K$178,'Reporting 2021'!$B23)</f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x14ac:dyDescent="0.25" r="55" customHeight="1" ht="15">
      <c r="A55" s="3"/>
      <c r="B55" s="428" t="s">
        <v>479</v>
      </c>
      <c r="C55" s="429">
        <f>SUMIFS(Data!$AD$3:$AD$178,Data!$Z$3:$Z$178,C$21,Data!$Y$3:$Y$178,"2021",Data!$K$3:$K$178,'Reporting 2021'!$B24)</f>
      </c>
      <c r="D55" s="429">
        <f>SUMIFS(Data!$AD$3:$AD$178,Data!$Z$3:$Z$178,D$21,Data!$Y$3:$Y$178,"2021",Data!$K$3:$K$178,'Reporting 2021'!$B24)</f>
      </c>
      <c r="E55" s="429">
        <f>SUMIFS(Data!$AD$3:$AD$178,Data!$Z$3:$Z$178,E$21,Data!$Y$3:$Y$178,"2021",Data!$K$3:$K$178,'Reporting 2021'!$B24)</f>
      </c>
      <c r="F55" s="429">
        <f>SUMIFS(Data!$AD$3:$AD$178,Data!$Z$3:$Z$178,F$21,Data!$Y$3:$Y$178,"2021",Data!$K$3:$K$178,'Reporting 2021'!$B24)</f>
      </c>
      <c r="G55" s="429">
        <f>SUMIFS(Data!$AD$3:$AD$178,Data!$Z$3:$Z$178,G$21,Data!$Y$3:$Y$178,"2021",Data!$K$3:$K$178,'Reporting 2021'!$B24)</f>
      </c>
      <c r="H55" s="429">
        <f>SUMIFS(Data!$AD$3:$AD$178,Data!$Z$3:$Z$178,H$21,Data!$Y$3:$Y$178,"2021",Data!$K$3:$K$178,'Reporting 2021'!$B24)</f>
      </c>
      <c r="I55" s="429">
        <f>SUMIFS(Data!$AD$3:$AD$178,Data!$Z$3:$Z$178,I$21,Data!$Y$3:$Y$178,"2021",Data!$K$3:$K$178,'Reporting 2021'!$B24)</f>
      </c>
      <c r="J55" s="429">
        <f>SUMIFS(Data!$AD$3:$AD$178,Data!$Z$3:$Z$178,J$21,Data!$Y$3:$Y$178,"2021",Data!$K$3:$K$178,'Reporting 2021'!$B24)</f>
      </c>
      <c r="K55" s="429">
        <f>SUMIFS(Data!$AD$3:$AD$178,Data!$Z$3:$Z$178,K$21,Data!$Y$3:$Y$178,"2021",Data!$K$3:$K$178,'Reporting 2021'!$B24)</f>
      </c>
      <c r="L55" s="429">
        <f>SUMIFS(Data!$AD$3:$AD$178,Data!$Z$3:$Z$178,L$21,Data!$Y$3:$Y$178,"2021",Data!$K$3:$K$178,'Reporting 2021'!$B24)</f>
      </c>
      <c r="M55" s="429">
        <f>SUMIFS(Data!$AD$3:$AD$178,Data!$Z$3:$Z$178,M$21,Data!$Y$3:$Y$178,"2021",Data!$K$3:$K$178,'Reporting 2021'!$B24)</f>
      </c>
      <c r="N55" s="429">
        <f>SUMIFS(Data!$AD$3:$AD$178,Data!$Z$3:$Z$178,N$21,Data!$Y$3:$Y$178,"2021",Data!$K$3:$K$178,'Reporting 2021'!$B24)</f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x14ac:dyDescent="0.25" r="56" customHeight="1" ht="15">
      <c r="A56" s="3"/>
      <c r="B56" s="125" t="s">
        <v>480</v>
      </c>
      <c r="C56" s="430">
        <f>+C46</f>
      </c>
      <c r="D56" s="430">
        <f>C56+D46</f>
      </c>
      <c r="E56" s="430">
        <f>D56+E46</f>
      </c>
      <c r="F56" s="430">
        <f>E56+F46</f>
      </c>
      <c r="G56" s="430">
        <f>F56+G46</f>
      </c>
      <c r="H56" s="430">
        <f>G56+H46</f>
      </c>
      <c r="I56" s="430">
        <f>H56+I46</f>
      </c>
      <c r="J56" s="430">
        <f>I56+J46</f>
      </c>
      <c r="K56" s="430">
        <f>J56+K46</f>
      </c>
      <c r="L56" s="430">
        <f>K56+L46</f>
      </c>
      <c r="M56" s="430">
        <f>L56+M46</f>
      </c>
      <c r="N56" s="430">
        <f>M56+N46</f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x14ac:dyDescent="0.25" r="57" customHeight="1" ht="19.5">
      <c r="A57" s="3"/>
      <c r="B57" s="125" t="s">
        <v>481</v>
      </c>
      <c r="C57" s="430">
        <f>+C47</f>
      </c>
      <c r="D57" s="431">
        <f>C57+D47</f>
      </c>
      <c r="E57" s="431">
        <f>D57+E47</f>
      </c>
      <c r="F57" s="431">
        <f>E57+F47</f>
      </c>
      <c r="G57" s="431">
        <f>F57+G47</f>
      </c>
      <c r="H57" s="431">
        <f>G57+H47</f>
      </c>
      <c r="I57" s="431">
        <f>H57+I47</f>
      </c>
      <c r="J57" s="431">
        <f>I57+J47</f>
      </c>
      <c r="K57" s="431">
        <f>J57+K47</f>
      </c>
      <c r="L57" s="431">
        <f>K57+L47</f>
      </c>
      <c r="M57" s="431">
        <f>L57+M47</f>
      </c>
      <c r="N57" s="431">
        <f>M57+N47</f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x14ac:dyDescent="0.25" r="58" customHeight="1" ht="19.5">
      <c r="A58" s="3"/>
      <c r="B58" s="125" t="s">
        <v>482</v>
      </c>
      <c r="C58" s="430">
        <f>+C48</f>
      </c>
      <c r="D58" s="431">
        <f>C58+D48</f>
      </c>
      <c r="E58" s="431">
        <f>D58+E48</f>
      </c>
      <c r="F58" s="431">
        <f>E58+F48</f>
      </c>
      <c r="G58" s="431">
        <f>F58+G48</f>
      </c>
      <c r="H58" s="431">
        <f>G58+H48</f>
      </c>
      <c r="I58" s="431">
        <f>H58+I48</f>
      </c>
      <c r="J58" s="431">
        <f>I58+J48</f>
      </c>
      <c r="K58" s="431">
        <f>J58+K48</f>
      </c>
      <c r="L58" s="431">
        <f>K58+L48</f>
      </c>
      <c r="M58" s="431">
        <f>L58+M48</f>
      </c>
      <c r="N58" s="431">
        <f>M58+N48</f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x14ac:dyDescent="0.25" r="59" customHeight="1" ht="19.5">
      <c r="A59" s="3"/>
      <c r="B59" s="125" t="s">
        <v>483</v>
      </c>
      <c r="C59" s="430">
        <f>+C49</f>
      </c>
      <c r="D59" s="431">
        <f>C59+D49</f>
      </c>
      <c r="E59" s="431">
        <f>D59+E49</f>
      </c>
      <c r="F59" s="431">
        <f>E59+F49</f>
      </c>
      <c r="G59" s="431">
        <f>F59+G49</f>
      </c>
      <c r="H59" s="431">
        <f>G59+H49</f>
      </c>
      <c r="I59" s="431">
        <f>H59+I49</f>
      </c>
      <c r="J59" s="431">
        <f>I59+J49</f>
      </c>
      <c r="K59" s="431">
        <f>J59+K49</f>
      </c>
      <c r="L59" s="431">
        <f>K59+L49</f>
      </c>
      <c r="M59" s="431">
        <f>L59+M49</f>
      </c>
      <c r="N59" s="431">
        <f>M59+N49</f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x14ac:dyDescent="0.25" r="60" customHeight="1" ht="19.5">
      <c r="A60" s="3"/>
      <c r="B60" s="125" t="s">
        <v>484</v>
      </c>
      <c r="C60" s="430">
        <f>+C50</f>
      </c>
      <c r="D60" s="431">
        <f>C60+D50</f>
      </c>
      <c r="E60" s="431">
        <f>D60+E50</f>
      </c>
      <c r="F60" s="431">
        <f>E60+F50</f>
      </c>
      <c r="G60" s="431">
        <f>F60+G50</f>
      </c>
      <c r="H60" s="431">
        <f>G60+H50</f>
      </c>
      <c r="I60" s="431">
        <f>H60+I50</f>
      </c>
      <c r="J60" s="431">
        <f>I60+J50</f>
      </c>
      <c r="K60" s="431">
        <f>J60+K50</f>
      </c>
      <c r="L60" s="431">
        <f>K60+L50</f>
      </c>
      <c r="M60" s="431">
        <f>L60+M50</f>
      </c>
      <c r="N60" s="431">
        <f>M60+N50</f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x14ac:dyDescent="0.25" r="61" customHeight="1" ht="19.5">
      <c r="A61" s="3"/>
      <c r="B61" s="125" t="s">
        <v>485</v>
      </c>
      <c r="C61" s="430">
        <f>+C51</f>
      </c>
      <c r="D61" s="431">
        <f>C61+D51</f>
      </c>
      <c r="E61" s="431">
        <f>D61+E51</f>
      </c>
      <c r="F61" s="431">
        <f>E61+F51</f>
      </c>
      <c r="G61" s="431">
        <f>F61+G51</f>
      </c>
      <c r="H61" s="431">
        <f>G61+H51</f>
      </c>
      <c r="I61" s="431">
        <f>H61+I51</f>
      </c>
      <c r="J61" s="431">
        <f>I61+J51</f>
      </c>
      <c r="K61" s="431">
        <f>J61+K51</f>
      </c>
      <c r="L61" s="431">
        <f>K61+L51</f>
      </c>
      <c r="M61" s="431">
        <f>L61+M51</f>
      </c>
      <c r="N61" s="431">
        <f>M61+N51</f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x14ac:dyDescent="0.25" r="62" customHeight="1" ht="19.5">
      <c r="A62" s="3"/>
      <c r="B62" s="125" t="s">
        <v>486</v>
      </c>
      <c r="C62" s="430">
        <f>+C52</f>
      </c>
      <c r="D62" s="431">
        <f>C62+D52</f>
      </c>
      <c r="E62" s="431">
        <f>D62+E52</f>
      </c>
      <c r="F62" s="431">
        <f>E62+F52</f>
      </c>
      <c r="G62" s="431">
        <f>F62+G52</f>
      </c>
      <c r="H62" s="431">
        <f>G62+H52</f>
      </c>
      <c r="I62" s="431">
        <f>H62+I52</f>
      </c>
      <c r="J62" s="431">
        <f>I62+J52</f>
      </c>
      <c r="K62" s="431">
        <f>J62+K52</f>
      </c>
      <c r="L62" s="431">
        <f>K62+L52</f>
      </c>
      <c r="M62" s="431">
        <f>L62+M52</f>
      </c>
      <c r="N62" s="431">
        <f>M62+N52</f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x14ac:dyDescent="0.25" r="63" customHeight="1" ht="19.5">
      <c r="A63" s="3"/>
      <c r="B63" s="125" t="s">
        <v>487</v>
      </c>
      <c r="C63" s="430">
        <f>+C53</f>
      </c>
      <c r="D63" s="431">
        <f>C63+D53</f>
      </c>
      <c r="E63" s="431">
        <f>D63+E53</f>
      </c>
      <c r="F63" s="431">
        <f>E63+F53</f>
      </c>
      <c r="G63" s="431">
        <f>F63+G53</f>
      </c>
      <c r="H63" s="431">
        <f>G63+H53</f>
      </c>
      <c r="I63" s="431">
        <f>H63+I53</f>
      </c>
      <c r="J63" s="431">
        <f>I63+J53</f>
      </c>
      <c r="K63" s="431">
        <f>J63+K53</f>
      </c>
      <c r="L63" s="431">
        <f>K63+L53</f>
      </c>
      <c r="M63" s="431">
        <f>L63+M53</f>
      </c>
      <c r="N63" s="431">
        <f>M63+N53</f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x14ac:dyDescent="0.25" r="64" customHeight="1" ht="19.5">
      <c r="A64" s="3"/>
      <c r="B64" s="125" t="s">
        <v>488</v>
      </c>
      <c r="C64" s="430">
        <f>+C54</f>
      </c>
      <c r="D64" s="431">
        <f>C64+D54</f>
      </c>
      <c r="E64" s="431">
        <f>D64+E54</f>
      </c>
      <c r="F64" s="431">
        <f>E64+F54</f>
      </c>
      <c r="G64" s="431">
        <f>F64+G54</f>
      </c>
      <c r="H64" s="431">
        <f>G64+H54</f>
      </c>
      <c r="I64" s="431">
        <f>H64+I54</f>
      </c>
      <c r="J64" s="431">
        <f>I64+J54</f>
      </c>
      <c r="K64" s="431">
        <f>J64+K54</f>
      </c>
      <c r="L64" s="431">
        <f>K64+L54</f>
      </c>
      <c r="M64" s="431">
        <f>L64+M54</f>
      </c>
      <c r="N64" s="431">
        <f>M64+N54</f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x14ac:dyDescent="0.25" r="65" customHeight="1" ht="19.5">
      <c r="A65" s="3"/>
      <c r="B65" s="125" t="s">
        <v>489</v>
      </c>
      <c r="C65" s="430">
        <f>+C55</f>
      </c>
      <c r="D65" s="431">
        <f>C65+D55</f>
      </c>
      <c r="E65" s="431">
        <f>D65+E55</f>
      </c>
      <c r="F65" s="431">
        <f>E65+F55</f>
      </c>
      <c r="G65" s="431">
        <f>F65+G55</f>
      </c>
      <c r="H65" s="431">
        <f>G65+H55</f>
      </c>
      <c r="I65" s="431">
        <f>H65+I55</f>
      </c>
      <c r="J65" s="431">
        <f>I65+J55</f>
      </c>
      <c r="K65" s="431">
        <f>J65+K55</f>
      </c>
      <c r="L65" s="431">
        <f>K65+L55</f>
      </c>
      <c r="M65" s="431">
        <f>L65+M55</f>
      </c>
      <c r="N65" s="431">
        <f>M65+N55</f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x14ac:dyDescent="0.25" r="66" customHeight="1" ht="19.5">
      <c r="A66" s="3"/>
      <c r="B66" s="432"/>
      <c r="C66" s="43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x14ac:dyDescent="0.25" r="67" customHeight="1" ht="19.5">
      <c r="A67" s="3"/>
      <c r="B67" s="432"/>
      <c r="C67" s="43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x14ac:dyDescent="0.25" r="68" customHeight="1" ht="19.5">
      <c r="A68" s="3"/>
      <c r="B68" s="432"/>
      <c r="C68" s="433"/>
      <c r="D68" s="8"/>
      <c r="E68" s="8"/>
      <c r="F68" s="8">
        <f>SUMIFS(Data!$S$2,Data!$P$2,F$21,Data!$K$2,'Reporting 2021'!B18,Data!$O$2,"2021")</f>
      </c>
      <c r="G68" s="8"/>
      <c r="H68" s="8"/>
      <c r="I68" s="8"/>
      <c r="J68" s="8"/>
      <c r="K68" s="8"/>
      <c r="L68" s="8"/>
      <c r="M68" s="8"/>
      <c r="N68" s="8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x14ac:dyDescent="0.25" r="69" customHeight="1" ht="19.5">
      <c r="A69" s="3"/>
      <c r="B69" s="125" t="s">
        <v>490</v>
      </c>
      <c r="C69" s="431">
        <f>SUMIFS(Data!$S$3:$S$178,Data!$P$3:$P$178,C$21,Data!$K$3:$K$178,'Reporting 2021'!$B15,Data!$O$3:$O$178,"2021")</f>
      </c>
      <c r="D69" s="431">
        <f>SUMIFS(Data!$S$3:$S$178,Data!$P$3:$P$178,D$21,Data!$K$3:$K$178,'Reporting 2021'!$B15,Data!$O$3:$O$178,"2021")</f>
      </c>
      <c r="E69" s="431">
        <f>SUMIFS(Data!$S$3:$S$178,Data!$P$3:$P$178,E$21,Data!$K$3:$K$178,'Reporting 2021'!$B15,Data!$O$3:$O$178,"2021")</f>
      </c>
      <c r="F69" s="431">
        <f>SUMIFS(Data!$S$3:$S$178,Data!$P$3:$P$178,F$21,Data!$K$3:$K$178,'Reporting 2021'!$B15,Data!$O$3:$O$178,"2021")</f>
      </c>
      <c r="G69" s="431">
        <f>SUMIFS(Data!$S$3:$S$178,Data!$P$3:$P$178,G$21,Data!$K$3:$K$178,'Reporting 2021'!$B15,Data!$O$3:$O$178,"2021")</f>
      </c>
      <c r="H69" s="431">
        <f>SUMIFS(Data!$S$3:$S$178,Data!$P$3:$P$178,H$21,Data!$K$3:$K$178,'Reporting 2021'!$B15,Data!$O$3:$O$178,"2021")</f>
      </c>
      <c r="I69" s="431">
        <f>SUMIFS(Data!$S$3:$S$178,Data!$P$3:$P$178,I$21,Data!$K$3:$K$178,'Reporting 2021'!$B15,Data!$O$3:$O$178,"2021")</f>
      </c>
      <c r="J69" s="431">
        <f>SUMIFS(Data!$S$3:$S$178,Data!$P$3:$P$178,J$21,Data!$K$3:$K$178,'Reporting 2021'!$B15,Data!$O$3:$O$178,"2021")</f>
      </c>
      <c r="K69" s="431">
        <f>SUMIFS(Data!$S$3:$S$178,Data!$P$3:$P$178,K$21,Data!$K$3:$K$178,'Reporting 2021'!$B15,Data!$O$3:$O$178,"2021")</f>
      </c>
      <c r="L69" s="431">
        <f>SUMIFS(Data!$S$3:$S$178,Data!$P$3:$P$178,L$21,Data!$K$3:$K$178,'Reporting 2021'!$B15,Data!$O$3:$O$178,"2021")</f>
      </c>
      <c r="M69" s="431">
        <f>SUMIFS(Data!$S$3:$S$178,Data!$P$3:$P$178,M$21,Data!$K$3:$K$178,'Reporting 2021'!$B15,Data!$O$3:$O$178,"2021")</f>
      </c>
      <c r="N69" s="431">
        <f>SUMIFS(Data!$S$3:$S$178,Data!$P$3:$P$178,N$21,Data!$K$3:$K$178,'Reporting 2021'!$B15,Data!$O$3:$O$178,"2021")</f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</row>
    <row x14ac:dyDescent="0.25" r="70" customHeight="1" ht="19.5">
      <c r="A70" s="3"/>
      <c r="B70" s="125" t="s">
        <v>491</v>
      </c>
      <c r="C70" s="431">
        <f>SUMIFS(Data!$S$3:$S$178,Data!$P$3:$P$178,C$21,Data!$K$3:$K$178,'Reporting 2021'!$B16,Data!$O$3:$O$178,"2021")</f>
      </c>
      <c r="D70" s="431">
        <f>SUMIFS(Data!$S$3:$S$178,Data!$P$3:$P$178,D$21,Data!$K$3:$K$178,'Reporting 2021'!$B16,Data!$O$3:$O$178,"2021")</f>
      </c>
      <c r="E70" s="431">
        <f>SUMIFS(Data!$S$3:$S$178,Data!$P$3:$P$178,E$21,Data!$K$3:$K$178,'Reporting 2021'!$B16,Data!$O$3:$O$178,"2021")</f>
      </c>
      <c r="F70" s="431">
        <f>SUMIFS(Data!$S$3:$S$178,Data!$P$3:$P$178,F$21,Data!$K$3:$K$178,'Reporting 2021'!$B16,Data!$O$3:$O$178,"2021")</f>
      </c>
      <c r="G70" s="431">
        <f>SUMIFS(Data!$S$3:$S$178,Data!$P$3:$P$178,G$21,Data!$K$3:$K$178,'Reporting 2021'!$B16,Data!$O$3:$O$178,"2021")</f>
      </c>
      <c r="H70" s="431">
        <f>SUMIFS(Data!$S$3:$S$178,Data!$P$3:$P$178,H$21,Data!$K$3:$K$178,'Reporting 2021'!$B16,Data!$O$3:$O$178,"2021")</f>
      </c>
      <c r="I70" s="431">
        <f>SUMIFS(Data!$S$3:$S$178,Data!$P$3:$P$178,I$21,Data!$K$3:$K$178,'Reporting 2021'!$B16,Data!$O$3:$O$178,"2021")</f>
      </c>
      <c r="J70" s="431">
        <f>SUMIFS(Data!$S$3:$S$178,Data!$P$3:$P$178,J$21,Data!$K$3:$K$178,'Reporting 2021'!$B16,Data!$O$3:$O$178,"2021")</f>
      </c>
      <c r="K70" s="431">
        <f>SUMIFS(Data!$S$3:$S$178,Data!$P$3:$P$178,K$21,Data!$K$3:$K$178,'Reporting 2021'!$B16,Data!$O$3:$O$178,"2021")</f>
      </c>
      <c r="L70" s="431">
        <f>SUMIFS(Data!$S$3:$S$178,Data!$P$3:$P$178,L$21,Data!$K$3:$K$178,'Reporting 2021'!$B16,Data!$O$3:$O$178,"2021")</f>
      </c>
      <c r="M70" s="431">
        <f>SUMIFS(Data!$S$3:$S$178,Data!$P$3:$P$178,M$21,Data!$K$3:$K$178,'Reporting 2021'!$B16,Data!$O$3:$O$178,"2021")</f>
      </c>
      <c r="N70" s="431">
        <f>SUMIFS(Data!$S$3:$S$178,Data!$P$3:$P$178,N$21,Data!$K$3:$K$178,'Reporting 2021'!$B16,Data!$O$3:$O$178,"2021")</f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x14ac:dyDescent="0.25" r="71" customHeight="1" ht="19.5">
      <c r="A71" s="3"/>
      <c r="B71" s="125" t="s">
        <v>492</v>
      </c>
      <c r="C71" s="431">
        <f>SUMIFS(Data!$S$3:$S$178,Data!$P$3:$P$178,C$21,Data!$K$3:$K$178,'Reporting 2021'!$B17,Data!$O$3:$O$178,"2021")</f>
      </c>
      <c r="D71" s="431">
        <f>SUMIFS(Data!$S$3:$S$178,Data!$P$3:$P$178,D$21,Data!$K$3:$K$178,'Reporting 2021'!$B17,Data!$O$3:$O$178,"2021")</f>
      </c>
      <c r="E71" s="431">
        <f>SUMIFS(Data!$S$3:$S$178,Data!$P$3:$P$178,E$21,Data!$K$3:$K$178,'Reporting 2021'!$B17,Data!$O$3:$O$178,"2021")</f>
      </c>
      <c r="F71" s="431">
        <f>SUMIFS(Data!$S$3:$S$178,Data!$P$3:$P$178,F$21,Data!$K$3:$K$178,'Reporting 2021'!$B17,Data!$O$3:$O$178,"2021")</f>
      </c>
      <c r="G71" s="431">
        <f>SUMIFS(Data!$S$3:$S$178,Data!$P$3:$P$178,G$21,Data!$K$3:$K$178,'Reporting 2021'!$B17,Data!$O$3:$O$178,"2021")</f>
      </c>
      <c r="H71" s="431">
        <f>SUMIFS(Data!$S$3:$S$178,Data!$P$3:$P$178,H$21,Data!$K$3:$K$178,'Reporting 2021'!$B17,Data!$O$3:$O$178,"2021")</f>
      </c>
      <c r="I71" s="431">
        <f>SUMIFS(Data!$S$3:$S$178,Data!$P$3:$P$178,I$21,Data!$K$3:$K$178,'Reporting 2021'!$B17,Data!$O$3:$O$178,"2021")</f>
      </c>
      <c r="J71" s="431">
        <f>SUMIFS(Data!$S$3:$S$178,Data!$P$3:$P$178,J$21,Data!$K$3:$K$178,'Reporting 2021'!$B17,Data!$O$3:$O$178,"2021")</f>
      </c>
      <c r="K71" s="431">
        <f>SUMIFS(Data!$S$3:$S$178,Data!$P$3:$P$178,K$21,Data!$K$3:$K$178,'Reporting 2021'!$B17,Data!$O$3:$O$178,"2021")</f>
      </c>
      <c r="L71" s="431">
        <f>SUMIFS(Data!$S$3:$S$178,Data!$P$3:$P$178,L$21,Data!$K$3:$K$178,'Reporting 2021'!$B17,Data!$O$3:$O$178,"2021")</f>
      </c>
      <c r="M71" s="431">
        <f>SUMIFS(Data!$S$3:$S$178,Data!$P$3:$P$178,M$21,Data!$K$3:$K$178,'Reporting 2021'!$B17,Data!$O$3:$O$178,"2021")</f>
      </c>
      <c r="N71" s="431">
        <f>SUMIFS(Data!$S$3:$S$178,Data!$P$3:$P$178,N$21,Data!$K$3:$K$178,'Reporting 2021'!$B17,Data!$O$3:$O$178,"2021")</f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</row>
    <row x14ac:dyDescent="0.25" r="72" customHeight="1" ht="19.5">
      <c r="A72" s="3"/>
      <c r="B72" s="125" t="s">
        <v>493</v>
      </c>
      <c r="C72" s="431">
        <f>SUMIFS(Data!$S$3:$S$178,Data!$P$3:$P$178,C$21,Data!$K$3:$K$178,'Reporting 2021'!$B18,Data!$O$3:$O$178,"2021")</f>
      </c>
      <c r="D72" s="431">
        <f>SUMIFS(Data!$S$3:$S$178,Data!$P$3:$P$178,D$21,Data!$K$3:$K$178,'Reporting 2021'!$B18,Data!$O$3:$O$178,"2021")</f>
      </c>
      <c r="E72" s="431">
        <f>SUMIFS(Data!$S$3:$S$178,Data!$P$3:$P$178,E$21,Data!$K$3:$K$178,'Reporting 2021'!$B18,Data!$O$3:$O$178,"2021")</f>
      </c>
      <c r="F72" s="431">
        <f>SUMIFS(Data!$S$3:$S$178,Data!$P$3:$P$178,F$21,Data!$K$3:$K$178,'Reporting 2021'!$B18,Data!$O$3:$O$178,"2021")</f>
      </c>
      <c r="G72" s="431">
        <f>SUMIFS(Data!$S$3:$S$178,Data!$P$3:$P$178,G$21,Data!$K$3:$K$178,'Reporting 2021'!$B18,Data!$O$3:$O$178,"2021")</f>
      </c>
      <c r="H72" s="431">
        <f>SUMIFS(Data!$S$3:$S$178,Data!$P$3:$P$178,H$21,Data!$K$3:$K$178,'Reporting 2021'!$B18,Data!$O$3:$O$178,"2021")</f>
      </c>
      <c r="I72" s="431">
        <f>SUMIFS(Data!$S$3:$S$178,Data!$P$3:$P$178,I$21,Data!$K$3:$K$178,'Reporting 2021'!$B18,Data!$O$3:$O$178,"2021")</f>
      </c>
      <c r="J72" s="431">
        <f>SUMIFS(Data!$S$3:$S$178,Data!$P$3:$P$178,J$21,Data!$K$3:$K$178,'Reporting 2021'!$B18,Data!$O$3:$O$178,"2021")</f>
      </c>
      <c r="K72" s="431">
        <f>SUMIFS(Data!$S$3:$S$178,Data!$P$3:$P$178,K$21,Data!$K$3:$K$178,'Reporting 2021'!$B18,Data!$O$3:$O$178,"2021")</f>
      </c>
      <c r="L72" s="431">
        <f>SUMIFS(Data!$S$3:$S$178,Data!$P$3:$P$178,L$21,Data!$K$3:$K$178,'Reporting 2021'!$B18,Data!$O$3:$O$178,"2021")</f>
      </c>
      <c r="M72" s="431">
        <f>SUMIFS(Data!$S$3:$S$178,Data!$P$3:$P$178,M$21,Data!$K$3:$K$178,'Reporting 2021'!$B18,Data!$O$3:$O$178,"2021")</f>
      </c>
      <c r="N72" s="431">
        <f>SUMIFS(Data!$S$3:$S$178,Data!$P$3:$P$178,N$21,Data!$K$3:$K$178,'Reporting 2021'!$B18,Data!$O$3:$O$178,"2021")</f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</row>
    <row x14ac:dyDescent="0.25" r="73" customHeight="1" ht="19.5">
      <c r="A73" s="3"/>
      <c r="B73" s="125" t="s">
        <v>494</v>
      </c>
      <c r="C73" s="431">
        <f>SUMIFS(Data!$S$3:$S$178,Data!$P$3:$P$178,C$21,Data!$K$3:$K$178,'Reporting 2021'!$B19,Data!$O$3:$O$178,"2021")</f>
      </c>
      <c r="D73" s="431">
        <f>SUMIFS(Data!$S$3:$S$178,Data!$P$3:$P$178,D$21,Data!$K$3:$K$178,'Reporting 2021'!$B19,Data!$O$3:$O$178,"2021")</f>
      </c>
      <c r="E73" s="431">
        <f>SUMIFS(Data!$S$3:$S$178,Data!$P$3:$P$178,E$21,Data!$K$3:$K$178,'Reporting 2021'!$B19,Data!$O$3:$O$178,"2021")</f>
      </c>
      <c r="F73" s="431">
        <f>SUMIFS(Data!$S$3:$S$178,Data!$P$3:$P$178,F$21,Data!$K$3:$K$178,'Reporting 2021'!$B19,Data!$O$3:$O$178,"2021")</f>
      </c>
      <c r="G73" s="431">
        <f>SUMIFS(Data!$S$3:$S$178,Data!$P$3:$P$178,G$21,Data!$K$3:$K$178,'Reporting 2021'!$B19,Data!$O$3:$O$178,"2021")</f>
      </c>
      <c r="H73" s="431">
        <f>SUMIFS(Data!$S$3:$S$178,Data!$P$3:$P$178,H$21,Data!$K$3:$K$178,'Reporting 2021'!$B19,Data!$O$3:$O$178,"2021")</f>
      </c>
      <c r="I73" s="431">
        <f>SUMIFS(Data!$S$3:$S$178,Data!$P$3:$P$178,I$21,Data!$K$3:$K$178,'Reporting 2021'!$B19,Data!$O$3:$O$178,"2021")</f>
      </c>
      <c r="J73" s="431">
        <f>SUMIFS(Data!$S$3:$S$178,Data!$P$3:$P$178,J$21,Data!$K$3:$K$178,'Reporting 2021'!$B19,Data!$O$3:$O$178,"2021")</f>
      </c>
      <c r="K73" s="431">
        <f>SUMIFS(Data!$S$3:$S$178,Data!$P$3:$P$178,K$21,Data!$K$3:$K$178,'Reporting 2021'!$B19,Data!$O$3:$O$178,"2021")</f>
      </c>
      <c r="L73" s="431">
        <f>SUMIFS(Data!$S$3:$S$178,Data!$P$3:$P$178,L$21,Data!$K$3:$K$178,'Reporting 2021'!$B19,Data!$O$3:$O$178,"2021")</f>
      </c>
      <c r="M73" s="431">
        <f>SUMIFS(Data!$S$3:$S$178,Data!$P$3:$P$178,M$21,Data!$K$3:$K$178,'Reporting 2021'!$B19,Data!$O$3:$O$178,"2021")</f>
      </c>
      <c r="N73" s="431">
        <f>SUMIFS(Data!$S$3:$S$178,Data!$P$3:$P$178,N$21,Data!$K$3:$K$178,'Reporting 2021'!$B19,Data!$O$3:$O$178,"2021")</f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</row>
    <row x14ac:dyDescent="0.25" r="74" customHeight="1" ht="19.5">
      <c r="A74" s="3"/>
      <c r="B74" s="125" t="s">
        <v>495</v>
      </c>
      <c r="C74" s="431">
        <f>SUMIFS(Data!$S$3:$S$178,Data!$P$3:$P$178,C$21,Data!$K$3:$K$178,'Reporting 2021'!$B20,Data!$O$3:$O$178,"2021")</f>
      </c>
      <c r="D74" s="431">
        <f>SUMIFS(Data!$S$3:$S$178,Data!$P$3:$P$178,D$21,Data!$K$3:$K$178,'Reporting 2021'!$B20,Data!$O$3:$O$178,"2021")</f>
      </c>
      <c r="E74" s="431">
        <f>SUMIFS(Data!$S$3:$S$178,Data!$P$3:$P$178,E$21,Data!$K$3:$K$178,'Reporting 2021'!$B20,Data!$O$3:$O$178,"2021")</f>
      </c>
      <c r="F74" s="431">
        <f>SUMIFS(Data!$S$3:$S$178,Data!$P$3:$P$178,F$21,Data!$K$3:$K$178,'Reporting 2021'!$B20,Data!$O$3:$O$178,"2021")</f>
      </c>
      <c r="G74" s="431">
        <f>SUMIFS(Data!$S$3:$S$178,Data!$P$3:$P$178,G$21,Data!$K$3:$K$178,'Reporting 2021'!$B20,Data!$O$3:$O$178,"2021")</f>
      </c>
      <c r="H74" s="431">
        <f>SUMIFS(Data!$S$3:$S$178,Data!$P$3:$P$178,H$21,Data!$K$3:$K$178,'Reporting 2021'!$B20,Data!$O$3:$O$178,"2021")</f>
      </c>
      <c r="I74" s="431">
        <f>SUMIFS(Data!$S$3:$S$178,Data!$P$3:$P$178,I$21,Data!$K$3:$K$178,'Reporting 2021'!$B20,Data!$O$3:$O$178,"2021")</f>
      </c>
      <c r="J74" s="431">
        <f>SUMIFS(Data!$S$3:$S$178,Data!$P$3:$P$178,J$21,Data!$K$3:$K$178,'Reporting 2021'!$B20,Data!$O$3:$O$178,"2021")</f>
      </c>
      <c r="K74" s="431">
        <f>SUMIFS(Data!$S$3:$S$178,Data!$P$3:$P$178,K$21,Data!$K$3:$K$178,'Reporting 2021'!$B20,Data!$O$3:$O$178,"2021")</f>
      </c>
      <c r="L74" s="431">
        <f>SUMIFS(Data!$S$3:$S$178,Data!$P$3:$P$178,L$21,Data!$K$3:$K$178,'Reporting 2021'!$B20,Data!$O$3:$O$178,"2021")</f>
      </c>
      <c r="M74" s="431">
        <f>SUMIFS(Data!$S$3:$S$178,Data!$P$3:$P$178,M$21,Data!$K$3:$K$178,'Reporting 2021'!$B20,Data!$O$3:$O$178,"2021")</f>
      </c>
      <c r="N74" s="431">
        <f>SUMIFS(Data!$S$3:$S$178,Data!$P$3:$P$178,N$21,Data!$K$3:$K$178,'Reporting 2021'!$B20,Data!$O$3:$O$178,"2021")</f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x14ac:dyDescent="0.25" r="75" customHeight="1" ht="19.5">
      <c r="A75" s="3"/>
      <c r="B75" s="125" t="s">
        <v>496</v>
      </c>
      <c r="C75" s="431">
        <f>SUMIFS(Data!$S$3:$S$178,Data!$P$3:$P$178,C$21,Data!$K$3:$K$178,'Reporting 2021'!$B21,Data!$O$3:$O$178,"2021")</f>
      </c>
      <c r="D75" s="431">
        <f>SUMIFS(Data!$S$3:$S$178,Data!$P$3:$P$178,D$21,Data!$K$3:$K$178,'Reporting 2021'!$B21,Data!$O$3:$O$178,"2021")</f>
      </c>
      <c r="E75" s="431">
        <f>SUMIFS(Data!$S$3:$S$178,Data!$P$3:$P$178,E$21,Data!$K$3:$K$178,'Reporting 2021'!$B21,Data!$O$3:$O$178,"2021")</f>
      </c>
      <c r="F75" s="431">
        <f>SUMIFS(Data!$S$3:$S$178,Data!$P$3:$P$178,F$21,Data!$K$3:$K$178,'Reporting 2021'!$B21,Data!$O$3:$O$178,"2021")</f>
      </c>
      <c r="G75" s="431">
        <f>SUMIFS(Data!$S$3:$S$178,Data!$P$3:$P$178,G$21,Data!$K$3:$K$178,'Reporting 2021'!$B21,Data!$O$3:$O$178,"2021")</f>
      </c>
      <c r="H75" s="431">
        <f>SUMIFS(Data!$S$3:$S$178,Data!$P$3:$P$178,H$21,Data!$K$3:$K$178,'Reporting 2021'!$B21,Data!$O$3:$O$178,"2021")</f>
      </c>
      <c r="I75" s="431">
        <f>SUMIFS(Data!$S$3:$S$178,Data!$P$3:$P$178,I$21,Data!$K$3:$K$178,'Reporting 2021'!$B21,Data!$O$3:$O$178,"2021")</f>
      </c>
      <c r="J75" s="431">
        <f>SUMIFS(Data!$S$3:$S$178,Data!$P$3:$P$178,J$21,Data!$K$3:$K$178,'Reporting 2021'!$B21,Data!$O$3:$O$178,"2021")</f>
      </c>
      <c r="K75" s="431">
        <f>SUMIFS(Data!$S$3:$S$178,Data!$P$3:$P$178,K$21,Data!$K$3:$K$178,'Reporting 2021'!$B21,Data!$O$3:$O$178,"2021")</f>
      </c>
      <c r="L75" s="431">
        <f>SUMIFS(Data!$S$3:$S$178,Data!$P$3:$P$178,L$21,Data!$K$3:$K$178,'Reporting 2021'!$B21,Data!$O$3:$O$178,"2021")</f>
      </c>
      <c r="M75" s="431">
        <f>SUMIFS(Data!$S$3:$S$178,Data!$P$3:$P$178,M$21,Data!$K$3:$K$178,'Reporting 2021'!$B21,Data!$O$3:$O$178,"2021")</f>
      </c>
      <c r="N75" s="431">
        <f>SUMIFS(Data!$S$3:$S$178,Data!$P$3:$P$178,N$21,Data!$K$3:$K$178,'Reporting 2021'!$B21,Data!$O$3:$O$178,"2021")</f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</row>
    <row x14ac:dyDescent="0.25" r="76" customHeight="1" ht="19.5">
      <c r="A76" s="3"/>
      <c r="B76" s="125" t="s">
        <v>497</v>
      </c>
      <c r="C76" s="431">
        <f>SUMIFS(Data!$S$3:$S$178,Data!$P$3:$P$178,C$21,Data!$K$3:$K$178,'Reporting 2021'!$B22,Data!$O$3:$O$178,"2021")</f>
      </c>
      <c r="D76" s="431">
        <f>SUMIFS(Data!$S$3:$S$178,Data!$P$3:$P$178,D$21,Data!$K$3:$K$178,'Reporting 2021'!$B22,Data!$O$3:$O$178,"2021")</f>
      </c>
      <c r="E76" s="431">
        <f>SUMIFS(Data!$S$3:$S$178,Data!$P$3:$P$178,E$21,Data!$K$3:$K$178,'Reporting 2021'!$B22,Data!$O$3:$O$178,"2021")</f>
      </c>
      <c r="F76" s="431">
        <f>SUMIFS(Data!$S$3:$S$178,Data!$P$3:$P$178,F$21,Data!$K$3:$K$178,'Reporting 2021'!$B22,Data!$O$3:$O$178,"2021")</f>
      </c>
      <c r="G76" s="431">
        <f>SUMIFS(Data!$S$3:$S$178,Data!$P$3:$P$178,G$21,Data!$K$3:$K$178,'Reporting 2021'!$B22,Data!$O$3:$O$178,"2021")</f>
      </c>
      <c r="H76" s="431">
        <f>SUMIFS(Data!$S$3:$S$178,Data!$P$3:$P$178,H$21,Data!$K$3:$K$178,'Reporting 2021'!$B22,Data!$O$3:$O$178,"2021")</f>
      </c>
      <c r="I76" s="431">
        <f>SUMIFS(Data!$S$3:$S$178,Data!$P$3:$P$178,I$21,Data!$K$3:$K$178,'Reporting 2021'!$B22,Data!$O$3:$O$178,"2021")</f>
      </c>
      <c r="J76" s="431">
        <f>SUMIFS(Data!$S$3:$S$178,Data!$P$3:$P$178,J$21,Data!$K$3:$K$178,'Reporting 2021'!$B22,Data!$O$3:$O$178,"2021")</f>
      </c>
      <c r="K76" s="431">
        <f>SUMIFS(Data!$S$3:$S$178,Data!$P$3:$P$178,K$21,Data!$K$3:$K$178,'Reporting 2021'!$B22,Data!$O$3:$O$178,"2021")</f>
      </c>
      <c r="L76" s="431">
        <f>SUMIFS(Data!$S$3:$S$178,Data!$P$3:$P$178,L$21,Data!$K$3:$K$178,'Reporting 2021'!$B22,Data!$O$3:$O$178,"2021")</f>
      </c>
      <c r="M76" s="431">
        <f>SUMIFS(Data!$S$3:$S$178,Data!$P$3:$P$178,M$21,Data!$K$3:$K$178,'Reporting 2021'!$B22,Data!$O$3:$O$178,"2021")</f>
      </c>
      <c r="N76" s="431">
        <f>SUMIFS(Data!$S$3:$S$178,Data!$P$3:$P$178,N$21,Data!$K$3:$K$178,'Reporting 2021'!$B22,Data!$O$3:$O$178,"2021")</f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</row>
    <row x14ac:dyDescent="0.25" r="77" customHeight="1" ht="19.5">
      <c r="A77" s="3"/>
      <c r="B77" s="125" t="s">
        <v>498</v>
      </c>
      <c r="C77" s="431">
        <f>SUMIFS(Data!$S$3:$S$178,Data!$P$3:$P$178,C$21,Data!$K$3:$K$178,'Reporting 2021'!$B23,Data!$O$3:$O$178,"2021")</f>
      </c>
      <c r="D77" s="431">
        <f>SUMIFS(Data!$S$3:$S$178,Data!$P$3:$P$178,D$21,Data!$K$3:$K$178,'Reporting 2021'!$B23,Data!$O$3:$O$178,"2021")</f>
      </c>
      <c r="E77" s="431">
        <f>SUMIFS(Data!$S$3:$S$178,Data!$P$3:$P$178,E$21,Data!$K$3:$K$178,'Reporting 2021'!$B23,Data!$O$3:$O$178,"2021")</f>
      </c>
      <c r="F77" s="431">
        <f>SUMIFS(Data!$S$3:$S$178,Data!$P$3:$P$178,F$21,Data!$K$3:$K$178,'Reporting 2021'!$B23,Data!$O$3:$O$178,"2021")</f>
      </c>
      <c r="G77" s="431">
        <f>SUMIFS(Data!$S$3:$S$178,Data!$P$3:$P$178,G$21,Data!$K$3:$K$178,'Reporting 2021'!$B23,Data!$O$3:$O$178,"2021")</f>
      </c>
      <c r="H77" s="431">
        <f>SUMIFS(Data!$S$3:$S$178,Data!$P$3:$P$178,H$21,Data!$K$3:$K$178,'Reporting 2021'!$B23,Data!$O$3:$O$178,"2021")</f>
      </c>
      <c r="I77" s="431">
        <f>SUMIFS(Data!$S$3:$S$178,Data!$P$3:$P$178,I$21,Data!$K$3:$K$178,'Reporting 2021'!$B23,Data!$O$3:$O$178,"2021")</f>
      </c>
      <c r="J77" s="431">
        <f>SUMIFS(Data!$S$3:$S$178,Data!$P$3:$P$178,J$21,Data!$K$3:$K$178,'Reporting 2021'!$B23,Data!$O$3:$O$178,"2021")</f>
      </c>
      <c r="K77" s="431">
        <f>SUMIFS(Data!$S$3:$S$178,Data!$P$3:$P$178,K$21,Data!$K$3:$K$178,'Reporting 2021'!$B23,Data!$O$3:$O$178,"2021")</f>
      </c>
      <c r="L77" s="431">
        <f>SUMIFS(Data!$S$3:$S$178,Data!$P$3:$P$178,L$21,Data!$K$3:$K$178,'Reporting 2021'!$B23,Data!$O$3:$O$178,"2021")</f>
      </c>
      <c r="M77" s="431">
        <f>SUMIFS(Data!$S$3:$S$178,Data!$P$3:$P$178,M$21,Data!$K$3:$K$178,'Reporting 2021'!$B23,Data!$O$3:$O$178,"2021")</f>
      </c>
      <c r="N77" s="431">
        <f>SUMIFS(Data!$S$3:$S$178,Data!$P$3:$P$178,N$21,Data!$K$3:$K$178,'Reporting 2021'!$B23,Data!$O$3:$O$178,"2021")</f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</row>
    <row x14ac:dyDescent="0.25" r="78" customHeight="1" ht="15">
      <c r="A78" s="3"/>
      <c r="B78" s="428" t="s">
        <v>499</v>
      </c>
      <c r="C78" s="434">
        <f>SUMIFS(Data!$S$3:$S$178,Data!$P$3:$P$178,C$21,Data!$K$3:$K$178,'Reporting 2021'!$B24,Data!$O$3:$O$178,"2021")</f>
      </c>
      <c r="D78" s="434">
        <f>SUMIFS(Data!$S$3:$S$178,Data!$P$3:$P$178,D$21,Data!$K$3:$K$178,'Reporting 2021'!$B24,Data!$O$3:$O$178,"2021")</f>
      </c>
      <c r="E78" s="434">
        <f>SUMIFS(Data!$S$3:$S$178,Data!$P$3:$P$178,E$21,Data!$K$3:$K$178,'Reporting 2021'!$B24,Data!$O$3:$O$178,"2021")</f>
      </c>
      <c r="F78" s="434">
        <f>SUMIFS(Data!$S$3:$S$178,Data!$P$3:$P$178,F$21,Data!$K$3:$K$178,'Reporting 2021'!$B24,Data!$O$3:$O$178,"2021")</f>
      </c>
      <c r="G78" s="434">
        <f>SUMIFS(Data!$S$3:$S$178,Data!$P$3:$P$178,G$21,Data!$K$3:$K$178,'Reporting 2021'!$B24,Data!$O$3:$O$178,"2021")</f>
      </c>
      <c r="H78" s="434">
        <f>SUMIFS(Data!$S$3:$S$178,Data!$P$3:$P$178,H$21,Data!$K$3:$K$178,'Reporting 2021'!$B24,Data!$O$3:$O$178,"2021")</f>
      </c>
      <c r="I78" s="434">
        <f>SUMIFS(Data!$S$3:$S$178,Data!$P$3:$P$178,I$21,Data!$K$3:$K$178,'Reporting 2021'!$B24,Data!$O$3:$O$178,"2021")</f>
      </c>
      <c r="J78" s="434">
        <f>SUMIFS(Data!$S$3:$S$178,Data!$P$3:$P$178,J$21,Data!$K$3:$K$178,'Reporting 2021'!$B24,Data!$O$3:$O$178,"2021")</f>
      </c>
      <c r="K78" s="434">
        <f>SUMIFS(Data!$S$3:$S$178,Data!$P$3:$P$178,K$21,Data!$K$3:$K$178,'Reporting 2021'!$B24,Data!$O$3:$O$178,"2021")</f>
      </c>
      <c r="L78" s="434">
        <f>SUMIFS(Data!$S$3:$S$178,Data!$P$3:$P$178,L$21,Data!$K$3:$K$178,'Reporting 2021'!$B24,Data!$O$3:$O$178,"2021")</f>
      </c>
      <c r="M78" s="434">
        <f>SUMIFS(Data!$S$3:$S$178,Data!$P$3:$P$178,M$21,Data!$K$3:$K$178,'Reporting 2021'!$B24,Data!$O$3:$O$178,"2021")</f>
      </c>
      <c r="N78" s="434">
        <f>SUMIFS(Data!$S$3:$S$178,Data!$P$3:$P$178,N$21,Data!$K$3:$K$178,'Reporting 2021'!$B24,Data!$O$3:$O$178,"2021")</f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</row>
    <row x14ac:dyDescent="0.25" r="79" customHeight="1" ht="15">
      <c r="A79" s="3"/>
      <c r="B79" s="125" t="s">
        <v>500</v>
      </c>
      <c r="C79" s="435">
        <f>C69</f>
      </c>
      <c r="D79" s="9">
        <f>C79+D69</f>
      </c>
      <c r="E79" s="9">
        <f>D79+E69</f>
      </c>
      <c r="F79" s="9">
        <f>E79+F69</f>
      </c>
      <c r="G79" s="9">
        <f>F79+G69</f>
      </c>
      <c r="H79" s="9">
        <f>G79+H69</f>
      </c>
      <c r="I79" s="9">
        <f>H79+I69</f>
      </c>
      <c r="J79" s="9">
        <f>I79+J69</f>
      </c>
      <c r="K79" s="9">
        <f>J79+K69</f>
      </c>
      <c r="L79" s="9">
        <f>K79+L69</f>
      </c>
      <c r="M79" s="9">
        <f>L79+M69</f>
      </c>
      <c r="N79" s="9">
        <f>M79+N69</f>
      </c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</row>
    <row x14ac:dyDescent="0.25" r="80" customHeight="1" ht="19.5">
      <c r="A80" s="3"/>
      <c r="B80" s="125" t="s">
        <v>501</v>
      </c>
      <c r="C80" s="435">
        <f>C70</f>
      </c>
      <c r="D80" s="9">
        <f>C80+D70</f>
      </c>
      <c r="E80" s="9">
        <f>D80+E70</f>
      </c>
      <c r="F80" s="9">
        <f>E80+F70</f>
      </c>
      <c r="G80" s="9">
        <f>F80+G70</f>
      </c>
      <c r="H80" s="9">
        <f>G80+H70</f>
      </c>
      <c r="I80" s="9">
        <f>H80+I70</f>
      </c>
      <c r="J80" s="9">
        <f>I80+J70</f>
      </c>
      <c r="K80" s="9">
        <f>J80+K70</f>
      </c>
      <c r="L80" s="9">
        <f>K80+L70</f>
      </c>
      <c r="M80" s="9">
        <f>L80+M70</f>
      </c>
      <c r="N80" s="9">
        <f>M80+N70</f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</row>
    <row x14ac:dyDescent="0.25" r="81" customHeight="1" ht="19.5">
      <c r="A81" s="3"/>
      <c r="B81" s="125" t="s">
        <v>502</v>
      </c>
      <c r="C81" s="435">
        <f>C71</f>
      </c>
      <c r="D81" s="9">
        <f>C81+D71</f>
      </c>
      <c r="E81" s="9">
        <f>D81+E71</f>
      </c>
      <c r="F81" s="9">
        <f>E81+F71</f>
      </c>
      <c r="G81" s="9">
        <f>F81+G71</f>
      </c>
      <c r="H81" s="9">
        <f>G81+H71</f>
      </c>
      <c r="I81" s="9">
        <f>H81+I71</f>
      </c>
      <c r="J81" s="9">
        <f>I81+J71</f>
      </c>
      <c r="K81" s="9">
        <f>J81+K71</f>
      </c>
      <c r="L81" s="9">
        <f>K81+L71</f>
      </c>
      <c r="M81" s="9">
        <f>L81+M71</f>
      </c>
      <c r="N81" s="9">
        <f>M81+N71</f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</row>
    <row x14ac:dyDescent="0.25" r="82" customHeight="1" ht="19.5">
      <c r="A82" s="3"/>
      <c r="B82" s="125" t="s">
        <v>503</v>
      </c>
      <c r="C82" s="435">
        <f>C72</f>
      </c>
      <c r="D82" s="9">
        <f>C82+D72</f>
      </c>
      <c r="E82" s="9">
        <f>D82+E72</f>
      </c>
      <c r="F82" s="9">
        <f>E82+F72</f>
      </c>
      <c r="G82" s="9">
        <f>F82+G72</f>
      </c>
      <c r="H82" s="9">
        <f>G82+H72</f>
      </c>
      <c r="I82" s="9">
        <f>H82+I72</f>
      </c>
      <c r="J82" s="9">
        <f>I82+J72</f>
      </c>
      <c r="K82" s="9">
        <f>J82+K72</f>
      </c>
      <c r="L82" s="9">
        <f>K82+L72</f>
      </c>
      <c r="M82" s="9">
        <f>L82+M72</f>
      </c>
      <c r="N82" s="9">
        <f>M82+N72</f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</row>
    <row x14ac:dyDescent="0.25" r="83" customHeight="1" ht="19.5">
      <c r="A83" s="3"/>
      <c r="B83" s="125" t="s">
        <v>504</v>
      </c>
      <c r="C83" s="435">
        <f>C73</f>
      </c>
      <c r="D83" s="9">
        <f>C83+D73</f>
      </c>
      <c r="E83" s="9">
        <f>D83+E73</f>
      </c>
      <c r="F83" s="9">
        <f>E83+F73</f>
      </c>
      <c r="G83" s="9">
        <f>F83+G73</f>
      </c>
      <c r="H83" s="9">
        <f>G83+H73</f>
      </c>
      <c r="I83" s="9">
        <f>H83+I73</f>
      </c>
      <c r="J83" s="9">
        <f>I83+J73</f>
      </c>
      <c r="K83" s="9">
        <f>J83+K73</f>
      </c>
      <c r="L83" s="9">
        <f>K83+L73</f>
      </c>
      <c r="M83" s="9">
        <f>L83+M73</f>
      </c>
      <c r="N83" s="9">
        <f>M83+N73</f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</row>
    <row x14ac:dyDescent="0.25" r="84" customHeight="1" ht="19.5">
      <c r="A84" s="3"/>
      <c r="B84" s="125" t="s">
        <v>505</v>
      </c>
      <c r="C84" s="435">
        <f>C74</f>
      </c>
      <c r="D84" s="9">
        <f>C84+D74</f>
      </c>
      <c r="E84" s="9">
        <f>D84+E74</f>
      </c>
      <c r="F84" s="9">
        <f>E84+F74</f>
      </c>
      <c r="G84" s="9">
        <f>F84+G74</f>
      </c>
      <c r="H84" s="9">
        <f>G84+H74</f>
      </c>
      <c r="I84" s="9">
        <f>H84+I74</f>
      </c>
      <c r="J84" s="9">
        <f>I84+J74</f>
      </c>
      <c r="K84" s="9">
        <f>J84+K74</f>
      </c>
      <c r="L84" s="9">
        <f>K84+L74</f>
      </c>
      <c r="M84" s="9">
        <f>L84+M74</f>
      </c>
      <c r="N84" s="9">
        <f>M84+N74</f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</row>
    <row x14ac:dyDescent="0.25" r="85" customHeight="1" ht="19.5">
      <c r="A85" s="3"/>
      <c r="B85" s="125" t="s">
        <v>506</v>
      </c>
      <c r="C85" s="435">
        <f>C75</f>
      </c>
      <c r="D85" s="9">
        <f>C85+D75</f>
      </c>
      <c r="E85" s="9">
        <f>D85+E75</f>
      </c>
      <c r="F85" s="9">
        <f>E85+F75</f>
      </c>
      <c r="G85" s="9">
        <f>F85+G75</f>
      </c>
      <c r="H85" s="9">
        <f>G85+H75</f>
      </c>
      <c r="I85" s="9">
        <f>H85+I75</f>
      </c>
      <c r="J85" s="9">
        <f>I85+J75</f>
      </c>
      <c r="K85" s="9">
        <f>J85+K75</f>
      </c>
      <c r="L85" s="9">
        <f>K85+L75</f>
      </c>
      <c r="M85" s="9">
        <f>L85+M75</f>
      </c>
      <c r="N85" s="9">
        <f>M85+N75</f>
      </c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</row>
    <row x14ac:dyDescent="0.25" r="86" customHeight="1" ht="19.5">
      <c r="A86" s="3"/>
      <c r="B86" s="125" t="s">
        <v>507</v>
      </c>
      <c r="C86" s="435">
        <f>C76</f>
      </c>
      <c r="D86" s="9">
        <f>C86+D76</f>
      </c>
      <c r="E86" s="9">
        <f>D86+E76</f>
      </c>
      <c r="F86" s="9">
        <f>E86+F76</f>
      </c>
      <c r="G86" s="9">
        <f>F86+G76</f>
      </c>
      <c r="H86" s="9">
        <f>G86+H76</f>
      </c>
      <c r="I86" s="9">
        <f>H86+I76</f>
      </c>
      <c r="J86" s="9">
        <f>I86+J76</f>
      </c>
      <c r="K86" s="9">
        <f>J86+K76</f>
      </c>
      <c r="L86" s="9">
        <f>K86+L76</f>
      </c>
      <c r="M86" s="9">
        <f>L86+M76</f>
      </c>
      <c r="N86" s="9">
        <f>M86+N76</f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</row>
    <row x14ac:dyDescent="0.25" r="87" customHeight="1" ht="19.5">
      <c r="A87" s="3"/>
      <c r="B87" s="125" t="s">
        <v>508</v>
      </c>
      <c r="C87" s="435">
        <f>C77</f>
      </c>
      <c r="D87" s="9">
        <f>C87+D77</f>
      </c>
      <c r="E87" s="9">
        <f>D87+E77</f>
      </c>
      <c r="F87" s="9">
        <f>E87+F77</f>
      </c>
      <c r="G87" s="9">
        <f>F87+G77</f>
      </c>
      <c r="H87" s="9">
        <f>G87+H77</f>
      </c>
      <c r="I87" s="9">
        <f>H87+I77</f>
      </c>
      <c r="J87" s="9">
        <f>I87+J77</f>
      </c>
      <c r="K87" s="9">
        <f>J87+K77</f>
      </c>
      <c r="L87" s="9">
        <f>K87+L77</f>
      </c>
      <c r="M87" s="9">
        <f>L87+M77</f>
      </c>
      <c r="N87" s="9">
        <f>M87+N77</f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</row>
    <row x14ac:dyDescent="0.25" r="88" customHeight="1" ht="19.5">
      <c r="A88" s="3"/>
      <c r="B88" s="125" t="s">
        <v>509</v>
      </c>
      <c r="C88" s="435">
        <f>C78</f>
      </c>
      <c r="D88" s="9">
        <f>C88+D78</f>
      </c>
      <c r="E88" s="9">
        <f>D88+E78</f>
      </c>
      <c r="F88" s="9">
        <f>E88+F78</f>
      </c>
      <c r="G88" s="9">
        <f>F88+G78</f>
      </c>
      <c r="H88" s="9">
        <f>G88+H78</f>
      </c>
      <c r="I88" s="9">
        <f>H88+I78</f>
      </c>
      <c r="J88" s="9">
        <f>I88+J78</f>
      </c>
      <c r="K88" s="9">
        <f>J88+K78</f>
      </c>
      <c r="L88" s="9">
        <f>K88+L78</f>
      </c>
      <c r="M88" s="9">
        <f>L88+M78</f>
      </c>
      <c r="N88" s="9">
        <f>M88+N78</f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81"/>
  <sheetViews>
    <sheetView workbookViewId="0"/>
  </sheetViews>
  <sheetFormatPr defaultRowHeight="15" x14ac:dyDescent="0.25"/>
  <cols>
    <col min="1" max="1" style="18" width="51.005" customWidth="1" bestFit="1"/>
    <col min="2" max="2" style="400" width="12.862142857142858" customWidth="1" bestFit="1"/>
    <col min="3" max="3" style="18" width="14.43357142857143" customWidth="1" bestFit="1"/>
    <col min="4" max="4" style="18" width="14.43357142857143" customWidth="1" bestFit="1"/>
    <col min="5" max="5" style="18" width="16.005" customWidth="1" bestFit="1"/>
    <col min="6" max="6" style="18" width="16.005" customWidth="1" bestFit="1"/>
    <col min="7" max="7" style="18" width="16.862142857142857" customWidth="1" bestFit="1"/>
    <col min="8" max="8" style="18" width="16.862142857142857" customWidth="1" bestFit="1"/>
    <col min="9" max="9" style="18" width="16.862142857142857" customWidth="1" bestFit="1"/>
    <col min="10" max="10" style="18" width="16.862142857142857" customWidth="1" bestFit="1"/>
    <col min="11" max="11" style="18" width="16.862142857142857" customWidth="1" bestFit="1"/>
    <col min="12" max="12" style="18" width="16.005" customWidth="1" bestFit="1"/>
    <col min="13" max="13" style="18" width="16.862142857142857" customWidth="1" bestFit="1"/>
    <col min="14" max="14" style="18" width="16.862142857142857" customWidth="1" bestFit="1"/>
    <col min="15" max="15" style="18" width="14.43357142857143" customWidth="1" bestFit="1"/>
    <col min="16" max="16" style="17" width="26.14785714285714" customWidth="1" bestFit="1"/>
    <col min="17" max="17" style="17" width="12.862142857142858" customWidth="1" bestFit="1"/>
    <col min="18" max="18" style="17" width="14.147857142857141" customWidth="1" bestFit="1"/>
    <col min="19" max="19" style="17" width="14.147857142857141" customWidth="1" bestFit="1"/>
  </cols>
  <sheetData>
    <row x14ac:dyDescent="0.25" r="1" customHeight="1" ht="19.5">
      <c r="A1" s="202">
        <v>2021</v>
      </c>
      <c r="B1" s="255" t="s">
        <v>354</v>
      </c>
      <c r="C1" s="256">
        <v>25569.04217820602</v>
      </c>
      <c r="D1" s="257">
        <v>25569.042178564814</v>
      </c>
      <c r="E1" s="257">
        <v>25569.04217888889</v>
      </c>
      <c r="F1" s="257">
        <v>25569.042179247685</v>
      </c>
      <c r="G1" s="257">
        <v>25569.042179594908</v>
      </c>
      <c r="H1" s="258">
        <v>25569.042179953703</v>
      </c>
      <c r="I1" s="256">
        <v>25569.042180300927</v>
      </c>
      <c r="J1" s="257">
        <v>25569.042180659722</v>
      </c>
      <c r="K1" s="257">
        <v>25569.042181018518</v>
      </c>
      <c r="L1" s="257">
        <v>25569.04218136574</v>
      </c>
      <c r="M1" s="257">
        <v>25569.042181724537</v>
      </c>
      <c r="N1" s="259">
        <v>25569.04218207176</v>
      </c>
      <c r="O1" s="260" t="s">
        <v>51</v>
      </c>
      <c r="P1" s="33" t="s">
        <v>355</v>
      </c>
      <c r="Q1" s="3"/>
      <c r="R1" s="3"/>
      <c r="S1" s="3"/>
    </row>
    <row x14ac:dyDescent="0.25" r="2" customHeight="1" ht="18">
      <c r="A2" s="261" t="s">
        <v>356</v>
      </c>
      <c r="B2" s="262"/>
      <c r="C2" s="263"/>
      <c r="D2" s="264"/>
      <c r="E2" s="264"/>
      <c r="F2" s="264"/>
      <c r="G2" s="264"/>
      <c r="H2" s="265"/>
      <c r="I2" s="266"/>
      <c r="J2" s="264"/>
      <c r="K2" s="264"/>
      <c r="L2" s="264"/>
      <c r="M2" s="264"/>
      <c r="N2" s="264"/>
      <c r="O2" s="267"/>
      <c r="P2" s="33"/>
      <c r="Q2" s="3"/>
      <c r="R2" s="3"/>
      <c r="S2" s="3"/>
    </row>
    <row x14ac:dyDescent="0.25" r="3" customHeight="1" ht="19.5">
      <c r="A3" s="268" t="s">
        <v>357</v>
      </c>
      <c r="B3" s="269">
        <v>0.2</v>
      </c>
      <c r="C3" s="270">
        <f>'Monthly Data'!C49</f>
      </c>
      <c r="D3" s="270">
        <f>'Monthly Data'!D49</f>
      </c>
      <c r="E3" s="270">
        <f>'Monthly Data'!E49</f>
      </c>
      <c r="F3" s="270">
        <f>'Monthly Data'!F49</f>
      </c>
      <c r="G3" s="270">
        <f>'Monthly Data'!G49</f>
      </c>
      <c r="H3" s="270">
        <f>'Monthly Data'!H49</f>
      </c>
      <c r="I3" s="270">
        <f>'Monthly Data'!I49</f>
      </c>
      <c r="J3" s="270">
        <f>'Monthly Data'!J49</f>
      </c>
      <c r="K3" s="270">
        <f>'Monthly Data'!K49</f>
      </c>
      <c r="L3" s="270">
        <f>'Monthly Data'!L49</f>
      </c>
      <c r="M3" s="270">
        <f>'Monthly Data'!M49</f>
      </c>
      <c r="N3" s="270">
        <f>'Monthly Data'!N49</f>
      </c>
      <c r="O3" s="232">
        <f>SUM(C3:N3)</f>
      </c>
      <c r="P3" s="3"/>
      <c r="Q3" s="3"/>
      <c r="R3" s="3"/>
      <c r="S3" s="3"/>
    </row>
    <row x14ac:dyDescent="0.25" r="4" customHeight="1" ht="19.5">
      <c r="A4" s="268" t="s">
        <v>358</v>
      </c>
      <c r="B4" s="269">
        <v>0.35</v>
      </c>
      <c r="C4" s="271">
        <f>'Monthly Data'!C52+'Monthly Data'!C53</f>
      </c>
      <c r="D4" s="271">
        <f>'Monthly Data'!D52+'Monthly Data'!D53</f>
      </c>
      <c r="E4" s="271">
        <f>'Monthly Data'!E52+'Monthly Data'!E53</f>
      </c>
      <c r="F4" s="271">
        <f>'Monthly Data'!F52+'Monthly Data'!F53</f>
      </c>
      <c r="G4" s="271">
        <f>'Monthly Data'!G52+'Monthly Data'!G53</f>
      </c>
      <c r="H4" s="271">
        <f>'Monthly Data'!H52+'Monthly Data'!H53</f>
      </c>
      <c r="I4" s="271">
        <f>'Monthly Data'!I52+'Monthly Data'!I53</f>
      </c>
      <c r="J4" s="271">
        <f>'Monthly Data'!J52+'Monthly Data'!J53</f>
      </c>
      <c r="K4" s="271">
        <f>'Monthly Data'!K52+'Monthly Data'!K53</f>
      </c>
      <c r="L4" s="271">
        <f>'Monthly Data'!L52+'Monthly Data'!L53</f>
      </c>
      <c r="M4" s="271">
        <f>'Monthly Data'!M52+'Monthly Data'!M53</f>
      </c>
      <c r="N4" s="271">
        <f>'Monthly Data'!N52+'Monthly Data'!N53</f>
      </c>
      <c r="O4" s="232">
        <f>SUM(C4:N4)</f>
      </c>
      <c r="P4" s="3"/>
      <c r="Q4" s="3"/>
      <c r="R4" s="3"/>
      <c r="S4" s="3"/>
    </row>
    <row x14ac:dyDescent="0.25" r="5" customHeight="1" ht="19.5">
      <c r="A5" s="268" t="s">
        <v>359</v>
      </c>
      <c r="B5" s="269">
        <v>0.35</v>
      </c>
      <c r="C5" s="271">
        <f>'Monthly Data'!C54</f>
      </c>
      <c r="D5" s="271">
        <f>'Monthly Data'!D54</f>
      </c>
      <c r="E5" s="271">
        <f>'Monthly Data'!E54</f>
      </c>
      <c r="F5" s="271">
        <f>'Monthly Data'!F54</f>
      </c>
      <c r="G5" s="271">
        <f>'Monthly Data'!G54</f>
      </c>
      <c r="H5" s="271">
        <f>'Monthly Data'!H54</f>
      </c>
      <c r="I5" s="271">
        <f>'Monthly Data'!I54</f>
      </c>
      <c r="J5" s="271">
        <f>'Monthly Data'!J54</f>
      </c>
      <c r="K5" s="271">
        <f>'Monthly Data'!K54</f>
      </c>
      <c r="L5" s="271">
        <f>'Monthly Data'!L54</f>
      </c>
      <c r="M5" s="271">
        <f>'Monthly Data'!M54</f>
      </c>
      <c r="N5" s="271">
        <f>'Monthly Data'!N54</f>
      </c>
      <c r="O5" s="232">
        <f>SUM(C5:N5)</f>
      </c>
      <c r="P5" s="3"/>
      <c r="Q5" s="3"/>
      <c r="R5" s="3"/>
      <c r="S5" s="3"/>
    </row>
    <row x14ac:dyDescent="0.25" r="6" customHeight="1" ht="19.5">
      <c r="A6" s="272" t="s">
        <v>360</v>
      </c>
      <c r="B6" s="273">
        <v>0</v>
      </c>
      <c r="C6" s="274">
        <v>2859</v>
      </c>
      <c r="D6" s="275">
        <v>10034</v>
      </c>
      <c r="E6" s="275">
        <v>-21729.5</v>
      </c>
      <c r="F6" s="275">
        <v>952</v>
      </c>
      <c r="G6" s="275"/>
      <c r="H6" s="276"/>
      <c r="I6" s="275"/>
      <c r="J6" s="275"/>
      <c r="K6" s="275"/>
      <c r="L6" s="275"/>
      <c r="M6" s="275"/>
      <c r="N6" s="276"/>
      <c r="O6" s="277">
        <f>SUM(C6:N6)</f>
      </c>
      <c r="P6" s="33"/>
      <c r="Q6" s="3"/>
      <c r="R6" s="3"/>
      <c r="S6" s="3"/>
    </row>
    <row x14ac:dyDescent="0.25" r="7" customHeight="1" ht="19.5">
      <c r="A7" s="268" t="s">
        <v>361</v>
      </c>
      <c r="B7" s="278">
        <v>0.05</v>
      </c>
      <c r="C7" s="279">
        <v>2564</v>
      </c>
      <c r="D7" s="270">
        <v>5896</v>
      </c>
      <c r="E7" s="270">
        <v>4683</v>
      </c>
      <c r="F7" s="270"/>
      <c r="G7" s="270"/>
      <c r="H7" s="280"/>
      <c r="I7" s="270"/>
      <c r="J7" s="270"/>
      <c r="K7" s="270"/>
      <c r="L7" s="270"/>
      <c r="M7" s="270"/>
      <c r="N7" s="280"/>
      <c r="O7" s="281">
        <f>SUM(C7:N7)</f>
      </c>
      <c r="P7" s="206">
        <f>SUM(O9:O9)</f>
      </c>
      <c r="Q7" s="3"/>
      <c r="R7" s="3"/>
      <c r="S7" s="3"/>
    </row>
    <row x14ac:dyDescent="0.25" r="8" customHeight="1" ht="19.5">
      <c r="A8" s="268" t="s">
        <v>360</v>
      </c>
      <c r="B8" s="278">
        <v>0.075</v>
      </c>
      <c r="C8" s="279">
        <v>382037</v>
      </c>
      <c r="D8" s="270">
        <v>280445.8099999999</v>
      </c>
      <c r="E8" s="270">
        <v>193426</v>
      </c>
      <c r="F8" s="270">
        <v>14771.6</v>
      </c>
      <c r="G8" s="270"/>
      <c r="H8" s="280"/>
      <c r="I8" s="270"/>
      <c r="J8" s="270"/>
      <c r="K8" s="270"/>
      <c r="L8" s="270"/>
      <c r="M8" s="270"/>
      <c r="N8" s="280"/>
      <c r="O8" s="282">
        <f>SUM(C8:N8)</f>
      </c>
      <c r="P8" s="3"/>
      <c r="Q8" s="3"/>
      <c r="R8" s="3"/>
      <c r="S8" s="3"/>
    </row>
    <row x14ac:dyDescent="0.25" r="9" customHeight="1" ht="19.5">
      <c r="A9" s="283" t="s">
        <v>362</v>
      </c>
      <c r="B9" s="284">
        <v>0.15</v>
      </c>
      <c r="C9" s="285"/>
      <c r="D9" s="286"/>
      <c r="E9" s="286"/>
      <c r="F9" s="286"/>
      <c r="G9" s="286"/>
      <c r="H9" s="287"/>
      <c r="I9" s="286"/>
      <c r="J9" s="286"/>
      <c r="K9" s="286"/>
      <c r="L9" s="286"/>
      <c r="M9" s="286"/>
      <c r="N9" s="287"/>
      <c r="O9" s="288">
        <f>SUM(C9:N9)</f>
      </c>
      <c r="P9" s="3"/>
      <c r="Q9" s="3"/>
      <c r="R9" s="3"/>
      <c r="S9" s="3"/>
    </row>
    <row x14ac:dyDescent="0.25" r="10" customHeight="1" ht="19.5">
      <c r="A10" s="289" t="s">
        <v>363</v>
      </c>
      <c r="B10" s="290">
        <v>1</v>
      </c>
      <c r="C10" s="279">
        <f>C9*$B$9+(C8*$B$8)+(C6*$B$6)+(C7*$B$7)</f>
      </c>
      <c r="D10" s="270">
        <f>D9*$B$9+(D8*$B$8)+(D6*$B$6)+(D7*$B$7)</f>
      </c>
      <c r="E10" s="270">
        <f>E9*$B$9+(E8*$B$8)+(E6*$B$6)+(E7*$B$7)</f>
      </c>
      <c r="F10" s="270">
        <f>F9*$B$9+(F8*$B$8)+(F6*$B$6)+(F7*$B$7)</f>
      </c>
      <c r="G10" s="270">
        <f>G9*$B$9+(G8*$B$8)+(G6*$B$6)+(G7*$B$7)</f>
      </c>
      <c r="H10" s="280">
        <f>H9*$B$9+(H8*$B$8)+(H6*$B$6)+(H7*$B$7)</f>
      </c>
      <c r="I10" s="270">
        <f>I9*$B$9+(I8*$B$8)+(I6*$B$6)+(I7*$B$7)</f>
      </c>
      <c r="J10" s="270">
        <f>J9*$B$9+(J8*$B$8)+(J6*$B$6)+(J7*$B$7)</f>
      </c>
      <c r="K10" s="270">
        <f>K9*$B$9+(K8*$B$8)+(K6*$B$6)+(K7*$B$7)</f>
      </c>
      <c r="L10" s="270">
        <f>L9*$B$9+(L8*$B$8)+(L6*$B$6)+(L7*$B$7)</f>
      </c>
      <c r="M10" s="270">
        <f>M9*$B$9+(M8*$B$8)+(M6*$B$6)+(M7*$B$7)</f>
      </c>
      <c r="N10" s="280">
        <f>N9*$B$9+(N8*$B$8)+(N6*$B$6)+(N7*$B$7)</f>
      </c>
      <c r="O10" s="228">
        <f>SUM(C10:N10)</f>
      </c>
      <c r="P10" s="3"/>
      <c r="Q10" s="3"/>
      <c r="R10" s="3"/>
      <c r="S10" s="3"/>
    </row>
    <row x14ac:dyDescent="0.25" r="11" customHeight="1" ht="19.5">
      <c r="A11" s="268" t="s">
        <v>364</v>
      </c>
      <c r="B11" s="290">
        <v>0.1</v>
      </c>
      <c r="C11" s="291"/>
      <c r="D11" s="271"/>
      <c r="E11" s="271"/>
      <c r="F11" s="271"/>
      <c r="G11" s="270"/>
      <c r="H11" s="280"/>
      <c r="I11" s="270"/>
      <c r="J11" s="270"/>
      <c r="K11" s="268"/>
      <c r="L11" s="270"/>
      <c r="M11" s="270"/>
      <c r="N11" s="270"/>
      <c r="O11" s="232"/>
      <c r="P11" s="3"/>
      <c r="Q11" s="3"/>
      <c r="R11" s="3"/>
      <c r="S11" s="3"/>
    </row>
    <row x14ac:dyDescent="0.25" r="12" customHeight="1" ht="19.5">
      <c r="A12" s="283" t="s">
        <v>365</v>
      </c>
      <c r="B12" s="292">
        <v>0.15</v>
      </c>
      <c r="C12" s="293">
        <f>AIA!C6+AIA!C7</f>
      </c>
      <c r="D12" s="294">
        <f>AIA!D6</f>
      </c>
      <c r="E12" s="294">
        <f>AIA!E7+AIA!E6</f>
      </c>
      <c r="F12" s="294">
        <f>AIA!F6+AIA!F7</f>
      </c>
      <c r="G12" s="294">
        <f>AIA!G6+AIA!G7</f>
      </c>
      <c r="H12" s="294">
        <f>AIA!H6+AIA!H7</f>
      </c>
      <c r="I12" s="293">
        <f>AIA!I6+AIA!I7</f>
      </c>
      <c r="J12" s="294">
        <f>AIA!J6+AIA!J7</f>
      </c>
      <c r="K12" s="294">
        <f>AIA!K6+AIA!K7</f>
      </c>
      <c r="L12" s="294">
        <f>AIA!L6+AIA!L7</f>
      </c>
      <c r="M12" s="294">
        <f>AIA!M6+AIA!M7</f>
      </c>
      <c r="N12" s="287">
        <f>AIA!N6+AIA!N7</f>
      </c>
      <c r="O12" s="234">
        <f>SUM(C12:N12)</f>
      </c>
      <c r="P12" s="3"/>
      <c r="Q12" s="3"/>
      <c r="R12" s="3"/>
      <c r="S12" s="3"/>
    </row>
    <row x14ac:dyDescent="0.25" r="13" customHeight="1" ht="19.5">
      <c r="A13" s="268" t="s">
        <v>366</v>
      </c>
      <c r="B13" s="295"/>
      <c r="C13" s="271">
        <f>C3+C4+C5+C10+C11+C12</f>
      </c>
      <c r="D13" s="271">
        <f>D3+D4+D5+D10+D11+D12</f>
      </c>
      <c r="E13" s="271">
        <f>E3+E4+E5+E10+E11+E12</f>
      </c>
      <c r="F13" s="271">
        <f>F3+F4+F5+F10+F11+F12</f>
      </c>
      <c r="G13" s="271">
        <f>G3+G4+G5+G10+G11+G12</f>
      </c>
      <c r="H13" s="296">
        <f>H3+H4+H5+H10+H11+H12</f>
      </c>
      <c r="I13" s="271">
        <f>I3+I4+I5+I10+I11+I12</f>
      </c>
      <c r="J13" s="271">
        <f>J3+J4+J5+J10+J11+J12</f>
      </c>
      <c r="K13" s="271">
        <f>K3+K4+K5+K10+K11+K12</f>
      </c>
      <c r="L13" s="271">
        <f>L3+L4+L5+L10+L11+L12</f>
      </c>
      <c r="M13" s="271">
        <f>M3+M4+M5+M10+M11+M12</f>
      </c>
      <c r="N13" s="296">
        <f>N3+N4+N5+N10+N11+N12</f>
      </c>
      <c r="O13" s="9">
        <f>SUM(C13:N13)</f>
      </c>
      <c r="P13" s="3"/>
      <c r="Q13" s="3"/>
      <c r="R13" s="3"/>
      <c r="S13" s="3"/>
    </row>
    <row x14ac:dyDescent="0.25" r="14" customHeight="1" ht="19.5">
      <c r="A14" s="159" t="s">
        <v>367</v>
      </c>
      <c r="B14" s="297">
        <f>O14/O13</f>
      </c>
      <c r="C14" s="159">
        <f>C3*$B$3+C4*$B$4+C5*$B$5+C12*$B$12</f>
      </c>
      <c r="D14" s="159">
        <f>D3*$B$3+D4*$B$4+D5*$B$5+D12*$B$12</f>
      </c>
      <c r="E14" s="159">
        <f>E3*$B$3+E4*$B$4+E5*$B$5+E12*$B$12</f>
      </c>
      <c r="F14" s="159">
        <f>F3*$B$3+F4*$B$4+F5*$B$5+F12*$B$12</f>
      </c>
      <c r="G14" s="159">
        <f>G3*$B$3+G4*$B$4+G5*$B$5+G12*$B$12</f>
      </c>
      <c r="H14" s="159">
        <f>H3*$B$3+H4*$B$4+H5*$B$5+H12*$B$12</f>
      </c>
      <c r="I14" s="159">
        <f>I3*$B$3+I4*$B$4+I5*$B$5+I12*$B$12</f>
      </c>
      <c r="J14" s="159">
        <f>J3*$B$3+J4*$B$4+J5*$B$5+J12*$B$12</f>
      </c>
      <c r="K14" s="159">
        <f>K3*$B$3+K4*$B$4+K5*$B$5+K12*$B$12</f>
      </c>
      <c r="L14" s="159">
        <f>L3*$B$3+L4*$B$4+L5*$B$5+L12*$B$12</f>
      </c>
      <c r="M14" s="159">
        <f>M3*$B$3+M4*$B$4+M5*$B$5+M12*$B$12</f>
      </c>
      <c r="N14" s="159">
        <f>N3*$B$3+N4*$B$4+N5*$B$5+N12*$B$12</f>
      </c>
      <c r="O14" s="298">
        <f>SUM(C14:N14)</f>
      </c>
      <c r="P14" s="9"/>
      <c r="Q14" s="9">
        <f>O13-O14</f>
      </c>
      <c r="R14" s="3"/>
      <c r="S14" s="299"/>
    </row>
    <row x14ac:dyDescent="0.25" r="15" customHeight="1" ht="19.5">
      <c r="A15" s="300" t="s">
        <v>368</v>
      </c>
      <c r="B15" s="301">
        <f>C15/C48</f>
      </c>
      <c r="C15" s="302">
        <f>C3*B3+C4*B4+C5*$B$5+C10*$B$10+C11*$B$11+C12*$B$12</f>
      </c>
      <c r="D15" s="300">
        <f>D14+C15</f>
      </c>
      <c r="E15" s="300">
        <f>E14+D15</f>
      </c>
      <c r="F15" s="300">
        <f>F14+E15</f>
      </c>
      <c r="G15" s="300">
        <f>G14+F15</f>
      </c>
      <c r="H15" s="303">
        <f>H14+G15</f>
      </c>
      <c r="I15" s="300">
        <f>I14+H15</f>
      </c>
      <c r="J15" s="300">
        <f>J14+I15</f>
      </c>
      <c r="K15" s="300">
        <f>K14+J15</f>
      </c>
      <c r="L15" s="300">
        <f>L14+K15</f>
      </c>
      <c r="M15" s="300">
        <f>M14+L15</f>
      </c>
      <c r="N15" s="303">
        <f>N14+M15</f>
      </c>
      <c r="O15" s="298"/>
      <c r="P15" s="9"/>
      <c r="Q15" s="3"/>
      <c r="R15" s="3"/>
      <c r="S15" s="3"/>
    </row>
    <row x14ac:dyDescent="0.25" r="16" customHeight="1" ht="19.5">
      <c r="A16" s="304" t="s">
        <v>369</v>
      </c>
      <c r="B16" s="305">
        <f>O16/O13</f>
      </c>
      <c r="C16" s="306">
        <v>82000</v>
      </c>
      <c r="D16" s="307">
        <v>82000</v>
      </c>
      <c r="E16" s="307">
        <v>82000</v>
      </c>
      <c r="F16" s="307">
        <v>82000</v>
      </c>
      <c r="G16" s="307">
        <v>82000</v>
      </c>
      <c r="H16" s="308">
        <v>82000</v>
      </c>
      <c r="I16" s="309">
        <v>87000</v>
      </c>
      <c r="J16" s="306">
        <v>87000</v>
      </c>
      <c r="K16" s="306">
        <v>87000</v>
      </c>
      <c r="L16" s="306">
        <v>87000</v>
      </c>
      <c r="M16" s="306">
        <v>87000</v>
      </c>
      <c r="N16" s="310">
        <v>87000</v>
      </c>
      <c r="O16" s="9">
        <f>SUM(C16:N16)</f>
      </c>
      <c r="P16" s="311">
        <f>800000+200000+50000</f>
      </c>
      <c r="Q16" s="3"/>
      <c r="R16" s="3"/>
      <c r="S16" s="3"/>
    </row>
    <row x14ac:dyDescent="0.25" r="17" customHeight="1" ht="19.5">
      <c r="A17" s="312" t="s">
        <v>370</v>
      </c>
      <c r="B17" s="313"/>
      <c r="C17" s="314">
        <v>4000</v>
      </c>
      <c r="D17" s="314">
        <v>4000</v>
      </c>
      <c r="E17" s="314">
        <v>4000</v>
      </c>
      <c r="F17" s="314">
        <v>4000</v>
      </c>
      <c r="G17" s="314">
        <v>4000</v>
      </c>
      <c r="H17" s="314">
        <v>4000</v>
      </c>
      <c r="I17" s="314">
        <v>4000</v>
      </c>
      <c r="J17" s="314">
        <v>4000</v>
      </c>
      <c r="K17" s="314">
        <v>4000</v>
      </c>
      <c r="L17" s="314">
        <v>4000</v>
      </c>
      <c r="M17" s="314">
        <v>4000</v>
      </c>
      <c r="N17" s="314">
        <v>4000</v>
      </c>
      <c r="O17" s="159">
        <f>SUM(C17:N17)</f>
      </c>
      <c r="P17" s="9"/>
      <c r="Q17" s="3"/>
      <c r="R17" s="3"/>
      <c r="S17" s="3"/>
    </row>
    <row x14ac:dyDescent="0.25" r="18" customHeight="1" ht="19.5">
      <c r="A18" s="304" t="s">
        <v>371</v>
      </c>
      <c r="B18" s="305"/>
      <c r="C18" s="309">
        <f>SUM(C16:C17)</f>
      </c>
      <c r="D18" s="309">
        <f>SUM(D16:D17)</f>
      </c>
      <c r="E18" s="309">
        <f>SUM(E16:E17)</f>
      </c>
      <c r="F18" s="309">
        <f>SUM(F16:F17)</f>
      </c>
      <c r="G18" s="309">
        <f>SUM(G16:G17)</f>
      </c>
      <c r="H18" s="308">
        <f>SUM(H16:H17)</f>
      </c>
      <c r="I18" s="309">
        <f>SUM(I16:I17)</f>
      </c>
      <c r="J18" s="309">
        <f>SUM(J16:J17)</f>
      </c>
      <c r="K18" s="309">
        <f>SUM(K16:K17)</f>
      </c>
      <c r="L18" s="309">
        <f>SUM(L16:L17)</f>
      </c>
      <c r="M18" s="309">
        <f>SUM(M16:M17)</f>
      </c>
      <c r="N18" s="308">
        <f>SUM(N16:N17)</f>
      </c>
      <c r="O18" s="9"/>
      <c r="P18" s="9"/>
      <c r="Q18" s="3"/>
      <c r="R18" s="3"/>
      <c r="S18" s="3"/>
    </row>
    <row x14ac:dyDescent="0.25" r="19" customHeight="1" ht="19.5">
      <c r="A19" s="315" t="s">
        <v>372</v>
      </c>
      <c r="B19" s="305"/>
      <c r="C19" s="309">
        <f>C18</f>
      </c>
      <c r="D19" s="309">
        <f>C19+D18</f>
      </c>
      <c r="E19" s="309">
        <f>D19+E18</f>
      </c>
      <c r="F19" s="309">
        <f>E19+F18</f>
      </c>
      <c r="G19" s="309">
        <f>F19+G18</f>
      </c>
      <c r="H19" s="308">
        <f>G19+H18</f>
      </c>
      <c r="I19" s="309">
        <f>H19+I18</f>
      </c>
      <c r="J19" s="309">
        <f>I19+J18</f>
      </c>
      <c r="K19" s="309">
        <f>J19+K18</f>
      </c>
      <c r="L19" s="309">
        <f>K19+L18</f>
      </c>
      <c r="M19" s="309">
        <f>L19+M18</f>
      </c>
      <c r="N19" s="308">
        <f>M19+N18</f>
      </c>
      <c r="O19" s="9"/>
      <c r="P19" s="9"/>
      <c r="Q19" s="3"/>
      <c r="R19" s="3"/>
      <c r="S19" s="3"/>
    </row>
    <row x14ac:dyDescent="0.25" r="20" customHeight="1" ht="19.5" hidden="1">
      <c r="A20" s="316" t="s">
        <v>373</v>
      </c>
      <c r="B20" s="317"/>
      <c r="C20" s="239">
        <f>C14-C18</f>
      </c>
      <c r="D20" s="239">
        <f>D14-D18</f>
      </c>
      <c r="E20" s="239">
        <f>E14-E18</f>
      </c>
      <c r="F20" s="239">
        <f>F14-F18</f>
      </c>
      <c r="G20" s="239">
        <f>G14-G18</f>
      </c>
      <c r="H20" s="240">
        <f>H14-H18</f>
      </c>
      <c r="I20" s="239">
        <f>I14-I18</f>
      </c>
      <c r="J20" s="239">
        <f>J14-J18</f>
      </c>
      <c r="K20" s="239">
        <f>K14-K18</f>
      </c>
      <c r="L20" s="239">
        <f>L14-L18</f>
      </c>
      <c r="M20" s="239">
        <f>M14-M18</f>
      </c>
      <c r="N20" s="240">
        <f>N14-N18</f>
      </c>
      <c r="O20" s="9">
        <f>SUM(C20:N20)</f>
      </c>
      <c r="P20" s="9"/>
      <c r="Q20" s="3"/>
      <c r="R20" s="3"/>
      <c r="S20" s="3"/>
    </row>
    <row x14ac:dyDescent="0.25" r="21" customHeight="1" ht="19.5" hidden="1">
      <c r="A21" s="318" t="s">
        <v>374</v>
      </c>
      <c r="B21" s="319"/>
      <c r="C21" s="320"/>
      <c r="D21" s="321"/>
      <c r="E21" s="321"/>
      <c r="F21" s="321"/>
      <c r="G21" s="321"/>
      <c r="H21" s="322"/>
      <c r="I21" s="321"/>
      <c r="J21" s="321"/>
      <c r="K21" s="321"/>
      <c r="L21" s="321"/>
      <c r="M21" s="321"/>
      <c r="N21" s="322"/>
      <c r="O21" s="159">
        <f>SUM(C21:N21)</f>
      </c>
      <c r="P21" s="9"/>
      <c r="Q21" s="3"/>
      <c r="R21" s="3"/>
      <c r="S21" s="3"/>
    </row>
    <row x14ac:dyDescent="0.25" r="22" customHeight="1" ht="19.5" hidden="1">
      <c r="A22" s="323" t="s">
        <v>375</v>
      </c>
      <c r="B22" s="324"/>
      <c r="C22" s="9">
        <f>C20</f>
      </c>
      <c r="D22" s="9">
        <f>D20+C22</f>
      </c>
      <c r="E22" s="9">
        <f>E20+D22</f>
      </c>
      <c r="F22" s="9">
        <f>F20+E22</f>
      </c>
      <c r="G22" s="9">
        <f>G20+F22</f>
      </c>
      <c r="H22" s="240">
        <f>H20+G22</f>
      </c>
      <c r="I22" s="9">
        <f>I20+H22</f>
      </c>
      <c r="J22" s="9">
        <f>J20+I22</f>
      </c>
      <c r="K22" s="9">
        <f>K20+J22</f>
      </c>
      <c r="L22" s="9">
        <f>L20+K22</f>
      </c>
      <c r="M22" s="9">
        <f>M20+L22</f>
      </c>
      <c r="N22" s="325">
        <f>N20+M22</f>
      </c>
      <c r="O22" s="326"/>
      <c r="P22" s="326"/>
      <c r="Q22" s="3"/>
      <c r="R22" s="3"/>
      <c r="S22" s="3"/>
    </row>
    <row x14ac:dyDescent="0.25" r="23" customHeight="1" ht="19.5">
      <c r="A23" s="323" t="s">
        <v>376</v>
      </c>
      <c r="B23" s="324"/>
      <c r="C23" s="327">
        <v>138</v>
      </c>
      <c r="D23" s="327">
        <v>3838</v>
      </c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6"/>
      <c r="P23" s="326"/>
      <c r="Q23" s="3"/>
      <c r="R23" s="3"/>
      <c r="S23" s="3"/>
    </row>
    <row x14ac:dyDescent="0.25" r="24" customHeight="1" ht="15">
      <c r="A24" s="328" t="s">
        <v>377</v>
      </c>
      <c r="B24" s="329"/>
      <c r="C24" s="330">
        <v>138</v>
      </c>
      <c r="D24" s="330">
        <f>C24+D23</f>
      </c>
      <c r="E24" s="330">
        <f>D24+E23</f>
      </c>
      <c r="F24" s="330">
        <f>E24+F23</f>
      </c>
      <c r="G24" s="330">
        <f>F24+G23</f>
      </c>
      <c r="H24" s="330">
        <f>G24+H23</f>
      </c>
      <c r="I24" s="330">
        <f>H24+I23</f>
      </c>
      <c r="J24" s="330">
        <f>I24+J23</f>
      </c>
      <c r="K24" s="330">
        <f>J24+K23</f>
      </c>
      <c r="L24" s="330">
        <f>K24+L23</f>
      </c>
      <c r="M24" s="330">
        <f>L24+M23</f>
      </c>
      <c r="N24" s="330">
        <f>M24+N23</f>
      </c>
      <c r="O24" s="326"/>
      <c r="P24" s="326"/>
      <c r="Q24" s="3"/>
      <c r="R24" s="3"/>
      <c r="S24" s="3"/>
    </row>
    <row x14ac:dyDescent="0.25" r="25" customHeight="1" ht="19.5" hidden="1">
      <c r="A25" s="323" t="s">
        <v>378</v>
      </c>
      <c r="B25" s="324"/>
      <c r="C25" s="331">
        <f>$O$25/12</f>
      </c>
      <c r="D25" s="331">
        <f>C25+$O$25/12</f>
      </c>
      <c r="E25" s="331">
        <f>D25+$O$25/12</f>
      </c>
      <c r="F25" s="331">
        <f>E25+$O$25/12</f>
      </c>
      <c r="G25" s="331">
        <f>F25+$O$25/12</f>
      </c>
      <c r="H25" s="331">
        <f>G25+$O$25/12</f>
      </c>
      <c r="I25" s="331">
        <f>H25+$O$25/12</f>
      </c>
      <c r="J25" s="331">
        <f>I25+$O$25/12</f>
      </c>
      <c r="K25" s="331">
        <f>J25+$O$25/12</f>
      </c>
      <c r="L25" s="331">
        <f>K25+$O$25/12</f>
      </c>
      <c r="M25" s="331">
        <f>L25+$O$25/12</f>
      </c>
      <c r="N25" s="331">
        <f>M25+$O$25/12</f>
      </c>
      <c r="O25" s="326">
        <v>-137000</v>
      </c>
      <c r="P25" s="326"/>
      <c r="Q25" s="3"/>
      <c r="R25" s="3"/>
      <c r="S25" s="3"/>
    </row>
    <row x14ac:dyDescent="0.25" r="26" customHeight="1" ht="19.5" hidden="1">
      <c r="A26" s="323" t="s">
        <v>379</v>
      </c>
      <c r="B26" s="332"/>
      <c r="C26" s="9">
        <f>C25</f>
      </c>
      <c r="D26" s="9">
        <f>C26+D25</f>
      </c>
      <c r="E26" s="9">
        <f>D26+E25</f>
      </c>
      <c r="F26" s="9">
        <f>E26+F25</f>
      </c>
      <c r="G26" s="9">
        <f>F26+G25</f>
      </c>
      <c r="H26" s="325">
        <f>G26+H25</f>
      </c>
      <c r="I26" s="9">
        <f>H26+I25</f>
      </c>
      <c r="J26" s="9">
        <f>I26+J25</f>
      </c>
      <c r="K26" s="9">
        <f>J26+K25</f>
      </c>
      <c r="L26" s="9">
        <f>K26+L25</f>
      </c>
      <c r="M26" s="9">
        <f>L26+M25</f>
      </c>
      <c r="N26" s="325">
        <f>M26+N25</f>
      </c>
      <c r="O26" s="333"/>
      <c r="P26" s="334"/>
      <c r="Q26" s="3"/>
      <c r="R26" s="3"/>
      <c r="S26" s="3"/>
    </row>
    <row x14ac:dyDescent="0.25" r="27" customHeight="1" ht="19.5" hidden="1">
      <c r="A27" s="8" t="s">
        <v>380</v>
      </c>
      <c r="B27" s="332"/>
      <c r="C27" s="335">
        <f>C24-C25</f>
      </c>
      <c r="D27" s="335">
        <f>D24-D25</f>
      </c>
      <c r="E27" s="335">
        <f>E24-E25</f>
      </c>
      <c r="F27" s="335">
        <f>F24-F25</f>
      </c>
      <c r="G27" s="335">
        <f>G24-G25</f>
      </c>
      <c r="H27" s="336">
        <f>H24-H25</f>
      </c>
      <c r="I27" s="335">
        <f>I24-I25</f>
      </c>
      <c r="J27" s="335">
        <f>J24-J25</f>
      </c>
      <c r="K27" s="335">
        <f>K24-K25</f>
      </c>
      <c r="L27" s="335">
        <f>L24-L25</f>
      </c>
      <c r="M27" s="335">
        <f>M24-M25</f>
      </c>
      <c r="N27" s="336">
        <f>N24-N25</f>
      </c>
      <c r="O27" s="8"/>
      <c r="P27" s="3"/>
      <c r="Q27" s="3"/>
      <c r="R27" s="3"/>
      <c r="S27" s="3"/>
    </row>
    <row x14ac:dyDescent="0.25" r="28" customHeight="1" ht="18">
      <c r="A28" s="261" t="s">
        <v>366</v>
      </c>
      <c r="B28" s="337"/>
      <c r="C28" s="228"/>
      <c r="D28" s="228"/>
      <c r="E28" s="228"/>
      <c r="F28" s="228"/>
      <c r="G28" s="228"/>
      <c r="H28" s="338"/>
      <c r="I28" s="228"/>
      <c r="J28" s="228"/>
      <c r="K28" s="228"/>
      <c r="L28" s="228"/>
      <c r="M28" s="228"/>
      <c r="N28" s="339"/>
      <c r="O28" s="8"/>
      <c r="P28" s="3"/>
      <c r="Q28" s="3"/>
      <c r="R28" s="3"/>
      <c r="S28" s="3"/>
    </row>
    <row x14ac:dyDescent="0.25" r="29" customHeight="1" ht="19.5">
      <c r="A29" s="340" t="s">
        <v>381</v>
      </c>
      <c r="B29" s="341"/>
      <c r="C29" s="342">
        <f>O29/12</f>
      </c>
      <c r="D29" s="342">
        <f>C29+($O$29/12)</f>
      </c>
      <c r="E29" s="342">
        <f>D29+($O$29/12)</f>
      </c>
      <c r="F29" s="342">
        <f>E29+($O$29/12)</f>
      </c>
      <c r="G29" s="342">
        <f>F29+($O$29/12)</f>
      </c>
      <c r="H29" s="342">
        <f>G29+($O$29/12)</f>
      </c>
      <c r="I29" s="342">
        <f>H29+($O$29/12)</f>
      </c>
      <c r="J29" s="342">
        <f>I29+($O$29/12)</f>
      </c>
      <c r="K29" s="342">
        <f>J29+($O$29/12)</f>
      </c>
      <c r="L29" s="342">
        <f>K29+($O$29/12)</f>
      </c>
      <c r="M29" s="342">
        <f>L29+($O$29/12)</f>
      </c>
      <c r="N29" s="342">
        <f>M29+($O$29/12)</f>
      </c>
      <c r="O29" s="9">
        <v>0</v>
      </c>
      <c r="P29" s="3"/>
      <c r="Q29" s="3"/>
      <c r="R29" s="3"/>
      <c r="S29" s="3"/>
    </row>
    <row x14ac:dyDescent="0.25" r="30" customHeight="1" ht="19.5">
      <c r="A30" s="340" t="s">
        <v>382</v>
      </c>
      <c r="B30" s="341"/>
      <c r="C30" s="342">
        <f>'Monthly Data'!C51</f>
      </c>
      <c r="D30" s="342">
        <f>'Monthly Data'!D51</f>
      </c>
      <c r="E30" s="342">
        <f>'Monthly Data'!E51</f>
      </c>
      <c r="F30" s="342">
        <f>'Monthly Data'!F51</f>
      </c>
      <c r="G30" s="342">
        <f>'Monthly Data'!G51</f>
      </c>
      <c r="H30" s="343">
        <f>'Monthly Data'!H51</f>
      </c>
      <c r="I30" s="342">
        <f>'Monthly Data'!I51</f>
      </c>
      <c r="J30" s="342">
        <f>'Monthly Data'!J51</f>
      </c>
      <c r="K30" s="342">
        <f>'Monthly Data'!K51</f>
      </c>
      <c r="L30" s="342">
        <f>'Monthly Data'!L51</f>
      </c>
      <c r="M30" s="342">
        <f>'Monthly Data'!M51</f>
      </c>
      <c r="N30" s="343">
        <f>'Monthly Data'!N51</f>
      </c>
      <c r="O30" s="9"/>
      <c r="P30" s="3"/>
      <c r="Q30" s="3"/>
      <c r="R30" s="3"/>
      <c r="S30" s="3"/>
    </row>
    <row x14ac:dyDescent="0.25" r="31" customHeight="1" ht="19.5">
      <c r="A31" s="344" t="s">
        <v>383</v>
      </c>
      <c r="B31" s="345"/>
      <c r="C31" s="342">
        <v>1588.5</v>
      </c>
      <c r="D31" s="342">
        <v>6223.5</v>
      </c>
      <c r="E31" s="342">
        <v>6823.5</v>
      </c>
      <c r="F31" s="342">
        <v>8687.5</v>
      </c>
      <c r="G31" s="342">
        <v>33667.5</v>
      </c>
      <c r="H31" s="343">
        <v>47392.5</v>
      </c>
      <c r="I31" s="342">
        <v>84622.5</v>
      </c>
      <c r="J31" s="342">
        <v>85647.5</v>
      </c>
      <c r="K31" s="342">
        <v>85647.5</v>
      </c>
      <c r="L31" s="342">
        <v>86437.5</v>
      </c>
      <c r="M31" s="342">
        <v>96622.5</v>
      </c>
      <c r="N31" s="343">
        <v>97412.5</v>
      </c>
      <c r="O31" s="8"/>
      <c r="P31" s="3"/>
      <c r="Q31" s="3"/>
      <c r="R31" s="3"/>
      <c r="S31" s="3"/>
    </row>
    <row x14ac:dyDescent="0.25" r="32" customHeight="1" ht="19.5">
      <c r="A32" s="340" t="s">
        <v>384</v>
      </c>
      <c r="B32" s="341"/>
      <c r="C32" s="342">
        <f>O32/12</f>
      </c>
      <c r="D32" s="342">
        <f>C32+($O$32/12)</f>
      </c>
      <c r="E32" s="342">
        <f>D32+($O$32/12)</f>
      </c>
      <c r="F32" s="342">
        <f>E32+($O$32/12)</f>
      </c>
      <c r="G32" s="342">
        <f>F32+($O$32/12)</f>
      </c>
      <c r="H32" s="342">
        <f>G32+($O$32/12)</f>
      </c>
      <c r="I32" s="342">
        <f>H32+($O$32/12)</f>
      </c>
      <c r="J32" s="342">
        <f>I32+($O$32/12)</f>
      </c>
      <c r="K32" s="342">
        <f>J32+($O$32/12)</f>
      </c>
      <c r="L32" s="342">
        <f>K32+($O$32/12)</f>
      </c>
      <c r="M32" s="342">
        <f>L32+($O$32/12)</f>
      </c>
      <c r="N32" s="342">
        <f>M32+($O$32/12)</f>
      </c>
      <c r="O32" s="9">
        <v>500000</v>
      </c>
      <c r="P32" s="3"/>
      <c r="Q32" s="3"/>
      <c r="R32" s="3"/>
      <c r="S32" s="3"/>
    </row>
    <row x14ac:dyDescent="0.25" r="33" customHeight="1" ht="19.5">
      <c r="A33" s="340" t="s">
        <v>385</v>
      </c>
      <c r="B33" s="341"/>
      <c r="C33" s="342">
        <f>'Monthly Data'!C52</f>
      </c>
      <c r="D33" s="342">
        <f>'Monthly Data'!D52</f>
      </c>
      <c r="E33" s="342">
        <f>'Monthly Data'!E52</f>
      </c>
      <c r="F33" s="342">
        <f>'Monthly Data'!F52</f>
      </c>
      <c r="G33" s="342">
        <f>'Monthly Data'!G52</f>
      </c>
      <c r="H33" s="343">
        <f>'Monthly Data'!H52</f>
      </c>
      <c r="I33" s="342">
        <f>'Monthly Data'!I52</f>
      </c>
      <c r="J33" s="342">
        <f>'Monthly Data'!J52</f>
      </c>
      <c r="K33" s="342">
        <f>'Monthly Data'!K52</f>
      </c>
      <c r="L33" s="342">
        <f>'Monthly Data'!L52</f>
      </c>
      <c r="M33" s="342">
        <f>'Monthly Data'!M52</f>
      </c>
      <c r="N33" s="343">
        <f>'Monthly Data'!N52</f>
      </c>
      <c r="O33" s="9"/>
      <c r="P33" s="3"/>
      <c r="Q33" s="3"/>
      <c r="R33" s="3"/>
      <c r="S33" s="3"/>
    </row>
    <row x14ac:dyDescent="0.25" r="34" customHeight="1" ht="19.5">
      <c r="A34" s="344" t="s">
        <v>386</v>
      </c>
      <c r="B34" s="341"/>
      <c r="C34" s="342">
        <v>15514.5</v>
      </c>
      <c r="D34" s="342">
        <v>22932.5</v>
      </c>
      <c r="E34" s="342">
        <v>41579.5</v>
      </c>
      <c r="F34" s="342">
        <v>49547.65</v>
      </c>
      <c r="G34" s="342">
        <v>58708.65</v>
      </c>
      <c r="H34" s="343">
        <v>99658</v>
      </c>
      <c r="I34" s="342">
        <v>110984</v>
      </c>
      <c r="J34" s="342">
        <v>136405</v>
      </c>
      <c r="K34" s="342">
        <v>144601</v>
      </c>
      <c r="L34" s="342">
        <v>150010.5</v>
      </c>
      <c r="M34" s="342">
        <v>153341</v>
      </c>
      <c r="N34" s="343">
        <v>218118.4</v>
      </c>
      <c r="O34" s="9"/>
      <c r="P34" s="3"/>
      <c r="Q34" s="3"/>
      <c r="R34" s="3"/>
      <c r="S34" s="3"/>
    </row>
    <row x14ac:dyDescent="0.25" r="35" customHeight="1" ht="19.5">
      <c r="A35" s="340" t="s">
        <v>387</v>
      </c>
      <c r="B35" s="341"/>
      <c r="C35" s="342">
        <f>O35/12</f>
      </c>
      <c r="D35" s="342">
        <f>C35+($O$35/12)</f>
      </c>
      <c r="E35" s="342">
        <f>D35+($O$35/12)</f>
      </c>
      <c r="F35" s="342">
        <f>E35+($O$35/12)</f>
      </c>
      <c r="G35" s="342">
        <f>F35+($O$35/12)</f>
      </c>
      <c r="H35" s="342">
        <f>G35+($O$35/12)</f>
      </c>
      <c r="I35" s="342">
        <f>H35+($O$35/12)</f>
      </c>
      <c r="J35" s="342">
        <f>I35+($O$35/12)</f>
      </c>
      <c r="K35" s="342">
        <f>J35+($O$35/12)</f>
      </c>
      <c r="L35" s="342">
        <f>K35+($O$35/12)</f>
      </c>
      <c r="M35" s="342">
        <f>L35+($O$35/12)</f>
      </c>
      <c r="N35" s="342">
        <f>M35+($O$35/12)</f>
      </c>
      <c r="O35" s="9">
        <v>0</v>
      </c>
      <c r="P35" s="3"/>
      <c r="Q35" s="3"/>
      <c r="R35" s="3"/>
      <c r="S35" s="3"/>
    </row>
    <row x14ac:dyDescent="0.25" r="36" customHeight="1" ht="19.5">
      <c r="A36" s="340" t="s">
        <v>388</v>
      </c>
      <c r="B36" s="341"/>
      <c r="C36" s="342">
        <f>'Monthly Data'!C53</f>
      </c>
      <c r="D36" s="342">
        <f>'Monthly Data'!D53</f>
      </c>
      <c r="E36" s="342">
        <f>'Monthly Data'!E53</f>
      </c>
      <c r="F36" s="342">
        <f>'Monthly Data'!F53</f>
      </c>
      <c r="G36" s="342">
        <f>'Monthly Data'!G53</f>
      </c>
      <c r="H36" s="343">
        <f>'Monthly Data'!H53</f>
      </c>
      <c r="I36" s="342">
        <f>'Monthly Data'!I53</f>
      </c>
      <c r="J36" s="342">
        <f>'Monthly Data'!J53</f>
      </c>
      <c r="K36" s="342">
        <f>'Monthly Data'!K53</f>
      </c>
      <c r="L36" s="342">
        <f>'Monthly Data'!L53</f>
      </c>
      <c r="M36" s="342">
        <f>'Monthly Data'!M53</f>
      </c>
      <c r="N36" s="343">
        <f>'Monthly Data'!N53</f>
      </c>
      <c r="O36" s="9"/>
      <c r="P36" s="3"/>
      <c r="Q36" s="3"/>
      <c r="R36" s="3"/>
      <c r="S36" s="3"/>
    </row>
    <row x14ac:dyDescent="0.25" r="37" customHeight="1" ht="19.5">
      <c r="A37" s="346" t="s">
        <v>389</v>
      </c>
      <c r="B37" s="347"/>
      <c r="C37" s="342">
        <v>0</v>
      </c>
      <c r="D37" s="342">
        <v>0</v>
      </c>
      <c r="E37" s="342">
        <v>0</v>
      </c>
      <c r="F37" s="342">
        <v>0</v>
      </c>
      <c r="G37" s="342">
        <v>0</v>
      </c>
      <c r="H37" s="343">
        <v>6900</v>
      </c>
      <c r="I37" s="342">
        <v>8904</v>
      </c>
      <c r="J37" s="342">
        <v>8904</v>
      </c>
      <c r="K37" s="342">
        <v>8904</v>
      </c>
      <c r="L37" s="342">
        <v>8904</v>
      </c>
      <c r="M37" s="342">
        <v>8904</v>
      </c>
      <c r="N37" s="343">
        <v>8904</v>
      </c>
      <c r="O37" s="9"/>
      <c r="P37" s="3"/>
      <c r="Q37" s="3"/>
      <c r="R37" s="3"/>
      <c r="S37" s="3"/>
    </row>
    <row x14ac:dyDescent="0.25" r="38" customHeight="1" ht="19.5">
      <c r="A38" s="340" t="s">
        <v>390</v>
      </c>
      <c r="B38" s="341"/>
      <c r="C38" s="342">
        <f>O38/12</f>
      </c>
      <c r="D38" s="342">
        <f>C38+($O$38/12)</f>
      </c>
      <c r="E38" s="342">
        <f>D38+($O$38/12)</f>
      </c>
      <c r="F38" s="342">
        <f>E38+($O$38/12)</f>
      </c>
      <c r="G38" s="342">
        <f>F38+($O$38/12)</f>
      </c>
      <c r="H38" s="343">
        <f>G38+($O$38/12)</f>
      </c>
      <c r="I38" s="342">
        <f>H38+($O$38/12)</f>
      </c>
      <c r="J38" s="342">
        <f>I38+($O$38/12)</f>
      </c>
      <c r="K38" s="342">
        <f>J38+($O$38/12)</f>
      </c>
      <c r="L38" s="342">
        <f>K38+($O$38/12)</f>
      </c>
      <c r="M38" s="342">
        <f>L38+($O$38/12)</f>
      </c>
      <c r="N38" s="343">
        <f>M38+($O$38/12)</f>
      </c>
      <c r="O38" s="9">
        <f>O29+O32</f>
      </c>
      <c r="P38" s="3"/>
      <c r="Q38" s="3"/>
      <c r="R38" s="3"/>
      <c r="S38" s="3"/>
    </row>
    <row x14ac:dyDescent="0.25" r="39" customHeight="1" ht="19.5">
      <c r="A39" s="348" t="s">
        <v>391</v>
      </c>
      <c r="B39" s="341"/>
      <c r="C39" s="349">
        <f>SUM(C30+C33)</f>
      </c>
      <c r="D39" s="349">
        <f>SUM(D30+D33)</f>
      </c>
      <c r="E39" s="349">
        <f>SUM(E30+E33)</f>
      </c>
      <c r="F39" s="349">
        <f>SUM(F30+F33)</f>
      </c>
      <c r="G39" s="349">
        <f>SUM(G30+G33)</f>
      </c>
      <c r="H39" s="349">
        <f>SUM(H30+H33)</f>
      </c>
      <c r="I39" s="349">
        <f>SUM(I30+I33)</f>
      </c>
      <c r="J39" s="349">
        <f>SUM(J30+J33)</f>
      </c>
      <c r="K39" s="349">
        <f>SUM(K30+K33)</f>
      </c>
      <c r="L39" s="349">
        <f>SUM(L30+L33)</f>
      </c>
      <c r="M39" s="349">
        <f>SUM(M30+M33)</f>
      </c>
      <c r="N39" s="349">
        <f>SUM(N30+N33)</f>
      </c>
      <c r="O39" s="9"/>
      <c r="P39" s="3"/>
      <c r="Q39" s="3"/>
      <c r="R39" s="3"/>
      <c r="S39" s="3"/>
    </row>
    <row x14ac:dyDescent="0.25" r="40" customHeight="1" ht="19.5">
      <c r="A40" s="346" t="s">
        <v>392</v>
      </c>
      <c r="B40" s="350"/>
      <c r="C40" s="351">
        <f>SUM(C31+C34)</f>
      </c>
      <c r="D40" s="351">
        <f>SUM(D31+D34)</f>
      </c>
      <c r="E40" s="351">
        <f>SUM(E31+E34)</f>
      </c>
      <c r="F40" s="351">
        <f>SUM(F31+F34)</f>
      </c>
      <c r="G40" s="351">
        <f>SUM(G31+G34)</f>
      </c>
      <c r="H40" s="351">
        <f>SUM(H31+H34)</f>
      </c>
      <c r="I40" s="351">
        <f>SUM(I31+I34)</f>
      </c>
      <c r="J40" s="351">
        <f>SUM(J31+J34)</f>
      </c>
      <c r="K40" s="351">
        <f>SUM(K31+K34)</f>
      </c>
      <c r="L40" s="351">
        <f>SUM(L31+L34)</f>
      </c>
      <c r="M40" s="351">
        <f>SUM(M31+M34)</f>
      </c>
      <c r="N40" s="351">
        <f>SUM(N31+N34)</f>
      </c>
      <c r="O40" s="9"/>
      <c r="P40" s="3"/>
      <c r="Q40" s="3"/>
      <c r="R40" s="3"/>
      <c r="S40" s="3"/>
    </row>
    <row x14ac:dyDescent="0.25" r="41" customHeight="1" ht="19.5">
      <c r="A41" s="340" t="s">
        <v>393</v>
      </c>
      <c r="B41" s="341"/>
      <c r="C41" s="342">
        <f>O41/12</f>
      </c>
      <c r="D41" s="342">
        <f>C41+($O$41/12)</f>
      </c>
      <c r="E41" s="342">
        <f>D41+($O$41/12)</f>
      </c>
      <c r="F41" s="342">
        <f>E41+($O$41/12)</f>
      </c>
      <c r="G41" s="342">
        <f>F41+($O$41/12)</f>
      </c>
      <c r="H41" s="343">
        <f>G41+($O$41/12)</f>
      </c>
      <c r="I41" s="342">
        <f>H41+($O$41/12)</f>
      </c>
      <c r="J41" s="342">
        <f>I41+($O$41/12)</f>
      </c>
      <c r="K41" s="342">
        <f>J41+($O$41/12)</f>
      </c>
      <c r="L41" s="342">
        <f>K41+($O$41/12)</f>
      </c>
      <c r="M41" s="342">
        <f>L41+($O$41/12)</f>
      </c>
      <c r="N41" s="343">
        <f>M41+($O$41/12)</f>
      </c>
      <c r="O41" s="352">
        <v>370000</v>
      </c>
      <c r="P41" s="3"/>
      <c r="Q41" s="3"/>
      <c r="R41" s="3"/>
      <c r="S41" s="3"/>
    </row>
    <row x14ac:dyDescent="0.25" r="42" customHeight="1" ht="19.5">
      <c r="A42" s="340" t="s">
        <v>394</v>
      </c>
      <c r="B42" s="341"/>
      <c r="C42" s="342">
        <f>C12</f>
      </c>
      <c r="D42" s="342">
        <f>C42+D12</f>
      </c>
      <c r="E42" s="342">
        <f>D42+E12</f>
      </c>
      <c r="F42" s="342">
        <f>E42+F12</f>
      </c>
      <c r="G42" s="342">
        <f>F42+G12</f>
      </c>
      <c r="H42" s="343">
        <f>G42+H12</f>
      </c>
      <c r="I42" s="342">
        <f>H42+I12</f>
      </c>
      <c r="J42" s="342">
        <f>I42+J12</f>
      </c>
      <c r="K42" s="342">
        <f>J42+K12</f>
      </c>
      <c r="L42" s="342">
        <f>K42+L12</f>
      </c>
      <c r="M42" s="342">
        <f>L42+M12</f>
      </c>
      <c r="N42" s="343">
        <f>M42+N12</f>
      </c>
      <c r="O42" s="9"/>
      <c r="P42" s="3"/>
      <c r="Q42" s="3"/>
      <c r="R42" s="3"/>
      <c r="S42" s="3"/>
    </row>
    <row x14ac:dyDescent="0.25" r="43" customHeight="1" ht="19.5">
      <c r="A43" s="346" t="s">
        <v>395</v>
      </c>
      <c r="B43" s="347"/>
      <c r="C43" s="351">
        <v>0</v>
      </c>
      <c r="D43" s="351">
        <v>160980</v>
      </c>
      <c r="E43" s="351">
        <v>999980</v>
      </c>
      <c r="F43" s="351">
        <v>999980</v>
      </c>
      <c r="G43" s="351">
        <v>999980</v>
      </c>
      <c r="H43" s="351">
        <v>999980</v>
      </c>
      <c r="I43" s="351">
        <v>999980</v>
      </c>
      <c r="J43" s="351">
        <v>999980</v>
      </c>
      <c r="K43" s="351">
        <v>1000820</v>
      </c>
      <c r="L43" s="351">
        <v>1000820</v>
      </c>
      <c r="M43" s="351">
        <v>1000820</v>
      </c>
      <c r="N43" s="351">
        <v>1282145</v>
      </c>
      <c r="O43" s="9"/>
      <c r="P43" s="3"/>
      <c r="Q43" s="3"/>
      <c r="R43" s="3"/>
      <c r="S43" s="3"/>
    </row>
    <row x14ac:dyDescent="0.25" r="44" customHeight="1" ht="19.5">
      <c r="A44" s="340" t="s">
        <v>396</v>
      </c>
      <c r="B44" s="341"/>
      <c r="C44" s="342">
        <f>O44/12</f>
      </c>
      <c r="D44" s="342">
        <f>C44+($O$44/12)</f>
      </c>
      <c r="E44" s="342">
        <f>D44+($O$44/12)</f>
      </c>
      <c r="F44" s="342">
        <f>E44+($O$44/12)</f>
      </c>
      <c r="G44" s="342">
        <f>F44+($O$44/12)</f>
      </c>
      <c r="H44" s="343">
        <f>G44+($O$44/12)</f>
      </c>
      <c r="I44" s="342">
        <f>H44+($O$44/12)</f>
      </c>
      <c r="J44" s="342">
        <f>I44+($O$44/12)</f>
      </c>
      <c r="K44" s="342">
        <f>J44+($O$44/12)</f>
      </c>
      <c r="L44" s="342">
        <f>K44+($O$44/12)</f>
      </c>
      <c r="M44" s="342">
        <f>L44+($O$44/12)</f>
      </c>
      <c r="N44" s="343">
        <f>M44+($O$44/12)</f>
      </c>
      <c r="O44" s="9">
        <v>477052</v>
      </c>
      <c r="P44" s="3"/>
      <c r="Q44" s="3"/>
      <c r="R44" s="3"/>
      <c r="S44" s="3"/>
    </row>
    <row x14ac:dyDescent="0.25" r="45" customHeight="1" ht="19.5">
      <c r="A45" s="340" t="s">
        <v>397</v>
      </c>
      <c r="B45" s="341"/>
      <c r="C45" s="342">
        <f>C10</f>
      </c>
      <c r="D45" s="342">
        <f>C45+D10</f>
      </c>
      <c r="E45" s="342">
        <f>D45+E10</f>
      </c>
      <c r="F45" s="342">
        <f>E45+F10</f>
      </c>
      <c r="G45" s="342">
        <f>F45+G10</f>
      </c>
      <c r="H45" s="343">
        <f>G45+H10</f>
      </c>
      <c r="I45" s="342">
        <f>H45+I10</f>
      </c>
      <c r="J45" s="342">
        <f>I45+J10</f>
      </c>
      <c r="K45" s="342">
        <f>J45+K10</f>
      </c>
      <c r="L45" s="342">
        <f>K45+L10</f>
      </c>
      <c r="M45" s="342">
        <f>L45+M10</f>
      </c>
      <c r="N45" s="343">
        <f>M45+N10</f>
      </c>
      <c r="O45" s="9"/>
      <c r="P45" s="3"/>
      <c r="Q45" s="3"/>
      <c r="R45" s="3"/>
      <c r="S45" s="3"/>
    </row>
    <row x14ac:dyDescent="0.25" r="46" customHeight="1" ht="19.5">
      <c r="A46" s="346" t="s">
        <v>398</v>
      </c>
      <c r="B46" s="347"/>
      <c r="C46" s="351">
        <v>9543.175</v>
      </c>
      <c r="D46" s="351">
        <v>23321.875</v>
      </c>
      <c r="E46" s="351">
        <v>83044.575</v>
      </c>
      <c r="F46" s="351">
        <v>86956.6175</v>
      </c>
      <c r="G46" s="351">
        <v>95859.19249999999</v>
      </c>
      <c r="H46" s="353">
        <v>86809.51749999999</v>
      </c>
      <c r="I46" s="351">
        <v>107719.0425</v>
      </c>
      <c r="J46" s="351">
        <v>114407.2925</v>
      </c>
      <c r="K46" s="351">
        <v>123005.8925</v>
      </c>
      <c r="L46" s="351">
        <v>128691.38125</v>
      </c>
      <c r="M46" s="351">
        <v>147760.08125</v>
      </c>
      <c r="N46" s="353">
        <v>178662.90625</v>
      </c>
      <c r="O46" s="9"/>
      <c r="P46" s="3"/>
      <c r="Q46" s="3"/>
      <c r="R46" s="3"/>
      <c r="S46" s="3"/>
    </row>
    <row x14ac:dyDescent="0.25" r="47" customHeight="1" ht="19.5">
      <c r="A47" s="340" t="s">
        <v>399</v>
      </c>
      <c r="B47" s="341"/>
      <c r="C47" s="342">
        <f>O47/12</f>
      </c>
      <c r="D47" s="342">
        <f>C47+($O$47/12)</f>
      </c>
      <c r="E47" s="342">
        <f>D47+($O$47/12)</f>
      </c>
      <c r="F47" s="342">
        <f>E47+($O$47/12)</f>
      </c>
      <c r="G47" s="342">
        <f>F47+($O$47/12)</f>
      </c>
      <c r="H47" s="343">
        <f>G47+($O$47/12)</f>
      </c>
      <c r="I47" s="342">
        <f>H47+($O$47/12)</f>
      </c>
      <c r="J47" s="342">
        <f>I47+($O$47/12)</f>
      </c>
      <c r="K47" s="342">
        <f>J47+($O$47/12)</f>
      </c>
      <c r="L47" s="342">
        <f>K47+($O$47/12)</f>
      </c>
      <c r="M47" s="342">
        <f>L47+($O$47/12)</f>
      </c>
      <c r="N47" s="343">
        <f>M47+($O$47/12)</f>
      </c>
      <c r="O47" s="9">
        <f>O29+O32+O35+O41+O44</f>
      </c>
      <c r="P47" s="3"/>
      <c r="Q47" s="3"/>
      <c r="R47" s="3"/>
      <c r="S47" s="3"/>
    </row>
    <row x14ac:dyDescent="0.25" r="48" customHeight="1" ht="19.5">
      <c r="A48" s="354" t="s">
        <v>400</v>
      </c>
      <c r="B48" s="355"/>
      <c r="C48" s="349">
        <f>C13</f>
      </c>
      <c r="D48" s="349">
        <f>C48+D13</f>
      </c>
      <c r="E48" s="349">
        <f>D48+E13</f>
      </c>
      <c r="F48" s="349">
        <f>E48+F13</f>
      </c>
      <c r="G48" s="349">
        <f>F48+G13</f>
      </c>
      <c r="H48" s="356">
        <f>G48+H13</f>
      </c>
      <c r="I48" s="349">
        <f>H48+I13</f>
      </c>
      <c r="J48" s="349">
        <f>I48+J13</f>
      </c>
      <c r="K48" s="349">
        <f>J48+K13</f>
      </c>
      <c r="L48" s="349">
        <f>K48+L13</f>
      </c>
      <c r="M48" s="349">
        <f>L48+M13</f>
      </c>
      <c r="N48" s="356">
        <f>M48+N13</f>
      </c>
      <c r="O48" s="8"/>
      <c r="P48" s="3"/>
      <c r="Q48" s="3"/>
      <c r="R48" s="3"/>
      <c r="S48" s="3"/>
    </row>
    <row x14ac:dyDescent="0.25" r="49" customHeight="1" ht="15">
      <c r="A49" s="357" t="s">
        <v>401</v>
      </c>
      <c r="B49" s="358"/>
      <c r="C49" s="359">
        <f>SUM(C37+C40+C46)</f>
      </c>
      <c r="D49" s="359">
        <f>SUM(D37+D40+D46)</f>
      </c>
      <c r="E49" s="359">
        <f>SUM(E37+E40+E46)</f>
      </c>
      <c r="F49" s="359">
        <f>SUM(F37+F40+F46)</f>
      </c>
      <c r="G49" s="359">
        <f>SUM(G37+G40+G46)</f>
      </c>
      <c r="H49" s="359">
        <f>SUM(H37+H40+H46)</f>
      </c>
      <c r="I49" s="359">
        <f>SUM(I37+I40+I46)</f>
      </c>
      <c r="J49" s="359">
        <f>SUM(J37+J40+J46)</f>
      </c>
      <c r="K49" s="359">
        <f>SUM(K37+K40+K46)</f>
      </c>
      <c r="L49" s="359">
        <f>SUM(L37+L40+L46)</f>
      </c>
      <c r="M49" s="359">
        <f>SUM(M37+M40+M46)</f>
      </c>
      <c r="N49" s="359">
        <f>SUM(N37+N40+N46)</f>
      </c>
      <c r="O49" s="9"/>
      <c r="P49" s="3"/>
      <c r="Q49" s="3"/>
      <c r="R49" s="3"/>
      <c r="S49" s="3"/>
    </row>
    <row x14ac:dyDescent="0.25" r="50" customHeight="1" ht="18">
      <c r="A50" s="261" t="s">
        <v>402</v>
      </c>
      <c r="B50" s="337"/>
      <c r="C50" s="228"/>
      <c r="D50" s="228"/>
      <c r="E50" s="228"/>
      <c r="F50" s="228"/>
      <c r="G50" s="228"/>
      <c r="H50" s="338"/>
      <c r="I50" s="228"/>
      <c r="J50" s="228"/>
      <c r="K50" s="228"/>
      <c r="L50" s="228"/>
      <c r="M50" s="228"/>
      <c r="N50" s="338"/>
      <c r="O50" s="8"/>
      <c r="P50" s="3"/>
      <c r="Q50" s="3"/>
      <c r="R50" s="3"/>
      <c r="S50" s="3"/>
    </row>
    <row x14ac:dyDescent="0.25" r="51" customHeight="1" ht="19.5">
      <c r="A51" s="360" t="s">
        <v>403</v>
      </c>
      <c r="B51" s="361"/>
      <c r="C51" s="362">
        <f>O51/12</f>
      </c>
      <c r="D51" s="362">
        <f>C51+($O$51/12)</f>
      </c>
      <c r="E51" s="362">
        <f>D51+($O$51/12)</f>
      </c>
      <c r="F51" s="362">
        <f>E51+($O$51/12)</f>
      </c>
      <c r="G51" s="362">
        <f>F51+($O$51/12)</f>
      </c>
      <c r="H51" s="363">
        <f>G51+($O$51/12)</f>
      </c>
      <c r="I51" s="362">
        <f>H51+($O$51/12)</f>
      </c>
      <c r="J51" s="362">
        <f>I51+($O$51/12)</f>
      </c>
      <c r="K51" s="362">
        <f>J51+($O$51/12)</f>
      </c>
      <c r="L51" s="362">
        <f>K51+($O$51/12)</f>
      </c>
      <c r="M51" s="362">
        <f>L51+($O$51/12)</f>
      </c>
      <c r="N51" s="363">
        <f>M51+($O$51/12)</f>
      </c>
      <c r="O51" s="9">
        <v>380000</v>
      </c>
      <c r="P51" s="3"/>
      <c r="Q51" s="3"/>
      <c r="R51" s="3"/>
      <c r="S51" s="3"/>
    </row>
    <row x14ac:dyDescent="0.25" r="52" customHeight="1" ht="19.5">
      <c r="A52" s="360" t="s">
        <v>404</v>
      </c>
      <c r="B52" s="364"/>
      <c r="C52" s="362">
        <f>'Monthly Data'!C60</f>
      </c>
      <c r="D52" s="362">
        <f>'Monthly Data'!D60</f>
      </c>
      <c r="E52" s="362">
        <f>'Monthly Data'!E60</f>
      </c>
      <c r="F52" s="362">
        <f>'Monthly Data'!F60</f>
      </c>
      <c r="G52" s="362">
        <f>'Monthly Data'!G60</f>
      </c>
      <c r="H52" s="363">
        <f>'Monthly Data'!H60</f>
      </c>
      <c r="I52" s="362">
        <f>'Monthly Data'!I60</f>
      </c>
      <c r="J52" s="362">
        <f>'Monthly Data'!J60</f>
      </c>
      <c r="K52" s="362">
        <f>'Monthly Data'!K60</f>
      </c>
      <c r="L52" s="362">
        <f>'Monthly Data'!L60</f>
      </c>
      <c r="M52" s="362">
        <f>'Monthly Data'!M60</f>
      </c>
      <c r="N52" s="363">
        <f>'Monthly Data'!N60</f>
      </c>
      <c r="O52" s="9"/>
      <c r="P52" s="3"/>
      <c r="Q52" s="3"/>
      <c r="R52" s="3"/>
      <c r="S52" s="3"/>
    </row>
    <row x14ac:dyDescent="0.25" r="53" customHeight="1" ht="19.5">
      <c r="A53" s="365" t="s">
        <v>405</v>
      </c>
      <c r="B53" s="361"/>
      <c r="C53" s="366">
        <v>9318</v>
      </c>
      <c r="D53" s="366">
        <v>28811.5</v>
      </c>
      <c r="E53" s="366">
        <v>63341.5</v>
      </c>
      <c r="F53" s="366">
        <v>70756.5</v>
      </c>
      <c r="G53" s="366">
        <v>99398.5</v>
      </c>
      <c r="H53" s="367">
        <v>118121.5</v>
      </c>
      <c r="I53" s="366">
        <v>147626.5</v>
      </c>
      <c r="J53" s="366">
        <v>147626.5</v>
      </c>
      <c r="K53" s="366">
        <v>164937</v>
      </c>
      <c r="L53" s="366">
        <v>175562</v>
      </c>
      <c r="M53" s="366">
        <v>180412</v>
      </c>
      <c r="N53" s="367">
        <v>187344.5</v>
      </c>
      <c r="O53" s="9"/>
      <c r="P53" s="3"/>
      <c r="Q53" s="3"/>
      <c r="R53" s="3"/>
      <c r="S53" s="3"/>
    </row>
    <row x14ac:dyDescent="0.25" r="54" customHeight="1" ht="19.5">
      <c r="A54" s="360" t="s">
        <v>406</v>
      </c>
      <c r="B54" s="364"/>
      <c r="C54" s="362">
        <f>O54/12</f>
      </c>
      <c r="D54" s="362">
        <f>C54+($O$54/12)</f>
      </c>
      <c r="E54" s="362">
        <f>D54+($O$54/12)</f>
      </c>
      <c r="F54" s="362">
        <f>E54+($O$54/12)</f>
      </c>
      <c r="G54" s="362">
        <f>F54+($O$54/12)</f>
      </c>
      <c r="H54" s="363">
        <f>G54+($O$54/12)</f>
      </c>
      <c r="I54" s="362">
        <f>H54+($O$54/12)</f>
      </c>
      <c r="J54" s="362">
        <f>I54+($O$54/12)</f>
      </c>
      <c r="K54" s="362">
        <f>J54+($O$54/12)</f>
      </c>
      <c r="L54" s="362">
        <f>K54+($O$54/12)</f>
      </c>
      <c r="M54" s="362">
        <f>L54+($O$54/12)</f>
      </c>
      <c r="N54" s="363">
        <f>M54+($O$54/12)</f>
      </c>
      <c r="O54" s="9">
        <v>345000</v>
      </c>
      <c r="P54" s="3"/>
      <c r="Q54" s="3"/>
      <c r="R54" s="3"/>
      <c r="S54" s="3"/>
    </row>
    <row x14ac:dyDescent="0.25" r="55" customHeight="1" ht="19.5">
      <c r="A55" s="360" t="s">
        <v>407</v>
      </c>
      <c r="B55" s="364"/>
      <c r="C55" s="362">
        <f>'Monthly Data'!C61</f>
      </c>
      <c r="D55" s="362">
        <f>'Monthly Data'!D61</f>
      </c>
      <c r="E55" s="362">
        <f>'Monthly Data'!E61</f>
      </c>
      <c r="F55" s="362">
        <f>'Monthly Data'!F61</f>
      </c>
      <c r="G55" s="362">
        <f>'Monthly Data'!G61</f>
      </c>
      <c r="H55" s="363">
        <f>'Monthly Data'!H61</f>
      </c>
      <c r="I55" s="362">
        <f>'Monthly Data'!I61</f>
      </c>
      <c r="J55" s="362">
        <f>'Monthly Data'!J61</f>
      </c>
      <c r="K55" s="362">
        <f>'Monthly Data'!K61</f>
      </c>
      <c r="L55" s="362">
        <f>'Monthly Data'!L61</f>
      </c>
      <c r="M55" s="362">
        <f>'Monthly Data'!M61</f>
      </c>
      <c r="N55" s="363">
        <f>'Monthly Data'!N61</f>
      </c>
      <c r="O55" s="9"/>
      <c r="P55" s="3"/>
      <c r="Q55" s="3"/>
      <c r="R55" s="3"/>
      <c r="S55" s="3"/>
    </row>
    <row x14ac:dyDescent="0.25" r="56" customHeight="1" ht="19.5">
      <c r="A56" s="365" t="s">
        <v>408</v>
      </c>
      <c r="B56" s="364"/>
      <c r="C56" s="366">
        <v>24768</v>
      </c>
      <c r="D56" s="366">
        <v>31757.5</v>
      </c>
      <c r="E56" s="366">
        <v>32148.45</v>
      </c>
      <c r="F56" s="366">
        <v>32148.45</v>
      </c>
      <c r="G56" s="366">
        <v>39194.1</v>
      </c>
      <c r="H56" s="367">
        <v>59688.1</v>
      </c>
      <c r="I56" s="366">
        <v>73545.1</v>
      </c>
      <c r="J56" s="366">
        <v>97690.1</v>
      </c>
      <c r="K56" s="366">
        <v>103352.1</v>
      </c>
      <c r="L56" s="366">
        <v>112211.1</v>
      </c>
      <c r="M56" s="366">
        <v>120048.75</v>
      </c>
      <c r="N56" s="367">
        <v>132270.75</v>
      </c>
      <c r="O56" s="9"/>
      <c r="P56" s="3"/>
      <c r="Q56" s="3"/>
      <c r="R56" s="3"/>
      <c r="S56" s="3"/>
    </row>
    <row x14ac:dyDescent="0.25" r="57" customHeight="1" ht="19.5">
      <c r="A57" s="360" t="s">
        <v>409</v>
      </c>
      <c r="B57" s="364"/>
      <c r="C57" s="362">
        <f>O57/12</f>
      </c>
      <c r="D57" s="362">
        <f>C57+($O$57/12)</f>
      </c>
      <c r="E57" s="362">
        <f>D57+($O$57/12)</f>
      </c>
      <c r="F57" s="362">
        <f>E57+($O$57/12)</f>
      </c>
      <c r="G57" s="362">
        <f>F57+($O$57/12)</f>
      </c>
      <c r="H57" s="362">
        <f>G57+($O$57/12)</f>
      </c>
      <c r="I57" s="362">
        <f>H57+($O$57/12)</f>
      </c>
      <c r="J57" s="362">
        <f>I57+($O$57/12)</f>
      </c>
      <c r="K57" s="362">
        <f>J57+($O$57/12)</f>
      </c>
      <c r="L57" s="362">
        <f>K57+($O$57/12)</f>
      </c>
      <c r="M57" s="362">
        <f>L57+($O$57/12)</f>
      </c>
      <c r="N57" s="362">
        <f>M57+($O$57/12)</f>
      </c>
      <c r="O57" s="9">
        <v>120000</v>
      </c>
      <c r="P57" s="3"/>
      <c r="Q57" s="3"/>
      <c r="R57" s="3"/>
      <c r="S57" s="3"/>
    </row>
    <row x14ac:dyDescent="0.25" r="58" customHeight="1" ht="19.5">
      <c r="A58" s="360" t="s">
        <v>410</v>
      </c>
      <c r="B58" s="364"/>
      <c r="C58" s="362">
        <f>'Monthly Data'!C62</f>
      </c>
      <c r="D58" s="362">
        <f>'Monthly Data'!D62</f>
      </c>
      <c r="E58" s="362">
        <f>'Monthly Data'!E62</f>
      </c>
      <c r="F58" s="362">
        <f>'Monthly Data'!F62</f>
      </c>
      <c r="G58" s="362">
        <f>'Monthly Data'!G62</f>
      </c>
      <c r="H58" s="363">
        <f>'Monthly Data'!H62</f>
      </c>
      <c r="I58" s="362">
        <f>'Monthly Data'!I62</f>
      </c>
      <c r="J58" s="362">
        <f>'Monthly Data'!J62</f>
      </c>
      <c r="K58" s="362">
        <f>'Monthly Data'!K62</f>
      </c>
      <c r="L58" s="362">
        <f>'Monthly Data'!L62</f>
      </c>
      <c r="M58" s="362">
        <f>'Monthly Data'!M62</f>
      </c>
      <c r="N58" s="363">
        <f>'Monthly Data'!N62</f>
      </c>
      <c r="O58" s="9"/>
      <c r="P58" s="3"/>
      <c r="Q58" s="3"/>
      <c r="R58" s="3"/>
      <c r="S58" s="3"/>
    </row>
    <row x14ac:dyDescent="0.25" r="59" customHeight="1" ht="19.5">
      <c r="A59" s="368" t="s">
        <v>411</v>
      </c>
      <c r="B59" s="369"/>
      <c r="C59" s="370">
        <v>0</v>
      </c>
      <c r="D59" s="370">
        <v>0</v>
      </c>
      <c r="E59" s="370">
        <v>0</v>
      </c>
      <c r="F59" s="370">
        <v>23250</v>
      </c>
      <c r="G59" s="370">
        <v>23250</v>
      </c>
      <c r="H59" s="370">
        <v>23250</v>
      </c>
      <c r="I59" s="370">
        <v>23250</v>
      </c>
      <c r="J59" s="370">
        <v>23250</v>
      </c>
      <c r="K59" s="370">
        <v>23250</v>
      </c>
      <c r="L59" s="370">
        <v>23250</v>
      </c>
      <c r="M59" s="370">
        <v>25044.6</v>
      </c>
      <c r="N59" s="370">
        <v>25129.6</v>
      </c>
      <c r="O59" s="9"/>
      <c r="P59" s="3"/>
      <c r="Q59" s="3"/>
      <c r="R59" s="3"/>
      <c r="S59" s="3"/>
    </row>
    <row x14ac:dyDescent="0.25" r="60" customHeight="1" ht="19.5">
      <c r="A60" s="360" t="s">
        <v>412</v>
      </c>
      <c r="B60" s="364"/>
      <c r="C60" s="362">
        <f>O60/12</f>
      </c>
      <c r="D60" s="362">
        <f>C60+($O$60/12)</f>
      </c>
      <c r="E60" s="362">
        <f>D60+($O$60/12)</f>
      </c>
      <c r="F60" s="362">
        <f>E60+($O$60/12)</f>
      </c>
      <c r="G60" s="362">
        <f>F60+($O$60/12)</f>
      </c>
      <c r="H60" s="363">
        <f>G60+($O$60/12)</f>
      </c>
      <c r="I60" s="362">
        <f>H60+($O$60/12)</f>
      </c>
      <c r="J60" s="362">
        <f>I60+($O$60/12)</f>
      </c>
      <c r="K60" s="362">
        <f>J60+($O$60/12)</f>
      </c>
      <c r="L60" s="362">
        <f>K60+($O$60/12)</f>
      </c>
      <c r="M60" s="362">
        <f>L60+($O$60/12)</f>
      </c>
      <c r="N60" s="363">
        <f>M60+($O$60/12)</f>
      </c>
      <c r="O60" s="9">
        <f>O51+O54</f>
      </c>
      <c r="P60" s="3"/>
      <c r="Q60" s="3"/>
      <c r="R60" s="3"/>
      <c r="S60" s="3"/>
    </row>
    <row x14ac:dyDescent="0.25" r="61" customHeight="1" ht="19.5">
      <c r="A61" s="371" t="s">
        <v>413</v>
      </c>
      <c r="B61" s="372"/>
      <c r="C61" s="373">
        <f>C52+C55</f>
      </c>
      <c r="D61" s="373">
        <f>D52+D55</f>
      </c>
      <c r="E61" s="373">
        <f>E52+E55</f>
      </c>
      <c r="F61" s="373">
        <f>F52+F55</f>
      </c>
      <c r="G61" s="373">
        <f>G52+G55</f>
      </c>
      <c r="H61" s="373">
        <f>H52+H55</f>
      </c>
      <c r="I61" s="373">
        <f>I52+I55</f>
      </c>
      <c r="J61" s="373">
        <f>J52+J55</f>
      </c>
      <c r="K61" s="373">
        <f>K52+K55</f>
      </c>
      <c r="L61" s="373">
        <f>L52+L55</f>
      </c>
      <c r="M61" s="373">
        <f>M52+M55</f>
      </c>
      <c r="N61" s="373">
        <f>N52+N55</f>
      </c>
      <c r="O61" s="8"/>
      <c r="P61" s="3"/>
      <c r="Q61" s="3"/>
      <c r="R61" s="3"/>
      <c r="S61" s="3"/>
    </row>
    <row x14ac:dyDescent="0.25" r="62" customHeight="1" ht="19.5">
      <c r="A62" s="368" t="s">
        <v>414</v>
      </c>
      <c r="B62" s="374"/>
      <c r="C62" s="370">
        <f>C53+C56</f>
      </c>
      <c r="D62" s="370">
        <f>D53+D56</f>
      </c>
      <c r="E62" s="370">
        <f>E53+E56</f>
      </c>
      <c r="F62" s="370">
        <f>F53+F56</f>
      </c>
      <c r="G62" s="370">
        <f>G53+G56</f>
      </c>
      <c r="H62" s="370">
        <f>H53+H56</f>
      </c>
      <c r="I62" s="370">
        <f>I53+I56</f>
      </c>
      <c r="J62" s="370">
        <f>J53+J56</f>
      </c>
      <c r="K62" s="370">
        <f>K53+K56</f>
      </c>
      <c r="L62" s="370">
        <f>L53+L56</f>
      </c>
      <c r="M62" s="370">
        <f>M53+M56</f>
      </c>
      <c r="N62" s="370">
        <f>N53+N56</f>
      </c>
      <c r="O62" s="9"/>
      <c r="P62" s="3"/>
      <c r="Q62" s="3"/>
      <c r="R62" s="3"/>
      <c r="S62" s="3"/>
    </row>
    <row x14ac:dyDescent="0.25" r="63" customHeight="1" ht="15">
      <c r="A63" s="360" t="s">
        <v>415</v>
      </c>
      <c r="B63" s="364"/>
      <c r="C63" s="362">
        <f>$O$63/12</f>
      </c>
      <c r="D63" s="362">
        <f>$O$63/12</f>
      </c>
      <c r="E63" s="362">
        <f>$O$63/12</f>
      </c>
      <c r="F63" s="362">
        <f>$O$63/12</f>
      </c>
      <c r="G63" s="362">
        <f>$O$63/12</f>
      </c>
      <c r="H63" s="363">
        <f>$O$63/12</f>
      </c>
      <c r="I63" s="362">
        <f>$O$63/12</f>
      </c>
      <c r="J63" s="362">
        <f>$O$63/12</f>
      </c>
      <c r="K63" s="362">
        <f>$O$63/12</f>
      </c>
      <c r="L63" s="362">
        <f>$O$63/12</f>
      </c>
      <c r="M63" s="362">
        <f>$O$63/12</f>
      </c>
      <c r="N63" s="363">
        <f>$O$63/12</f>
      </c>
      <c r="O63" s="9">
        <f>4872000+2095000</f>
      </c>
      <c r="P63" s="375">
        <f>O64/O63</f>
      </c>
      <c r="Q63" s="3"/>
      <c r="R63" s="3"/>
      <c r="S63" s="3"/>
    </row>
    <row x14ac:dyDescent="0.25" r="64" customHeight="1" ht="15">
      <c r="A64" s="360" t="s">
        <v>416</v>
      </c>
      <c r="B64" s="364"/>
      <c r="C64" s="362">
        <f>$O$64/12</f>
      </c>
      <c r="D64" s="362">
        <f>$O$64/12</f>
      </c>
      <c r="E64" s="362">
        <f>$O$64/12</f>
      </c>
      <c r="F64" s="362">
        <f>$O$64/12</f>
      </c>
      <c r="G64" s="362">
        <f>$O$64/12</f>
      </c>
      <c r="H64" s="363">
        <f>$O$64/12</f>
      </c>
      <c r="I64" s="362">
        <f>$O$64/12</f>
      </c>
      <c r="J64" s="362">
        <f>$O$64/12</f>
      </c>
      <c r="K64" s="362">
        <f>$O$64/12</f>
      </c>
      <c r="L64" s="362">
        <f>$O$64/12</f>
      </c>
      <c r="M64" s="362">
        <f>$O$64/12</f>
      </c>
      <c r="N64" s="363">
        <f>$O$64/12</f>
      </c>
      <c r="O64" s="9">
        <f>3451699+1302616</f>
      </c>
      <c r="P64" s="3"/>
      <c r="Q64" s="3"/>
      <c r="R64" s="3"/>
      <c r="S64" s="3"/>
    </row>
    <row x14ac:dyDescent="0.25" r="65" customHeight="1" ht="15">
      <c r="A65" s="376" t="s">
        <v>417</v>
      </c>
      <c r="B65" s="377"/>
      <c r="C65" s="165">
        <v>340509.95</v>
      </c>
      <c r="D65" s="165">
        <v>85704.55973182117</v>
      </c>
      <c r="E65" s="165">
        <v>533231</v>
      </c>
      <c r="F65" s="165">
        <v>847394.4</v>
      </c>
      <c r="G65" s="165"/>
      <c r="H65" s="378"/>
      <c r="I65" s="165"/>
      <c r="J65" s="165"/>
      <c r="K65" s="165"/>
      <c r="L65" s="165"/>
      <c r="M65" s="165"/>
      <c r="N65" s="378"/>
      <c r="O65" s="8"/>
      <c r="P65" s="3"/>
      <c r="Q65" s="3"/>
      <c r="R65" s="3"/>
      <c r="S65" s="3"/>
    </row>
    <row x14ac:dyDescent="0.25" r="66" customHeight="1" ht="15">
      <c r="A66" s="360" t="s">
        <v>418</v>
      </c>
      <c r="B66" s="364"/>
      <c r="C66" s="362">
        <f>C63</f>
      </c>
      <c r="D66" s="362">
        <f>C66+D63</f>
      </c>
      <c r="E66" s="362">
        <f>D66+E63</f>
      </c>
      <c r="F66" s="362">
        <f>E66+F63</f>
      </c>
      <c r="G66" s="362">
        <f>F66+G63</f>
      </c>
      <c r="H66" s="363">
        <f>G66+H63</f>
      </c>
      <c r="I66" s="362">
        <f>H66+I63</f>
      </c>
      <c r="J66" s="362">
        <f>I66+J63</f>
      </c>
      <c r="K66" s="362">
        <f>J66+K63</f>
      </c>
      <c r="L66" s="362">
        <f>K66+L63</f>
      </c>
      <c r="M66" s="362">
        <f>L66+M63</f>
      </c>
      <c r="N66" s="363">
        <f>M66+N63</f>
      </c>
      <c r="O66" s="9">
        <f>4872000+2095000</f>
      </c>
      <c r="P66" s="3"/>
      <c r="Q66" s="3"/>
      <c r="R66" s="3"/>
      <c r="S66" s="3"/>
    </row>
    <row x14ac:dyDescent="0.25" r="67" customHeight="1" ht="19.5">
      <c r="A67" s="371" t="s">
        <v>419</v>
      </c>
      <c r="B67" s="372"/>
      <c r="C67" s="373">
        <f>C64</f>
      </c>
      <c r="D67" s="373">
        <f>C67+D64</f>
      </c>
      <c r="E67" s="373">
        <f>D67+E64</f>
      </c>
      <c r="F67" s="373">
        <f>E67+F64</f>
      </c>
      <c r="G67" s="373">
        <f>F67+G64</f>
      </c>
      <c r="H67" s="379">
        <f>G67+H64</f>
      </c>
      <c r="I67" s="373">
        <f>H67+I64</f>
      </c>
      <c r="J67" s="373">
        <f>I67+J64</f>
      </c>
      <c r="K67" s="373">
        <f>J67+K64</f>
      </c>
      <c r="L67" s="373">
        <f>K67+L64</f>
      </c>
      <c r="M67" s="373">
        <f>L67+M64</f>
      </c>
      <c r="N67" s="379">
        <f>M67+N64</f>
      </c>
      <c r="O67" s="200">
        <f>3451699+1302616</f>
      </c>
      <c r="P67" s="3"/>
      <c r="Q67" s="3"/>
      <c r="R67" s="3"/>
      <c r="S67" s="3"/>
    </row>
    <row x14ac:dyDescent="0.25" r="68" customHeight="1" ht="19.5">
      <c r="A68" s="380" t="s">
        <v>420</v>
      </c>
      <c r="B68" s="381"/>
      <c r="C68" s="382">
        <f>O68/12</f>
      </c>
      <c r="D68" s="382">
        <f>C68+$O$68/12</f>
      </c>
      <c r="E68" s="382">
        <f>D68+$O$68/12</f>
      </c>
      <c r="F68" s="382">
        <f>E68+$O$68/12</f>
      </c>
      <c r="G68" s="382">
        <f>F68+$O$68/12</f>
      </c>
      <c r="H68" s="382">
        <f>G68+$O$68/12</f>
      </c>
      <c r="I68" s="382">
        <f>H68+$O$68/12</f>
      </c>
      <c r="J68" s="382">
        <f>I68+$O$68/12</f>
      </c>
      <c r="K68" s="382">
        <f>J68+$O$68/12</f>
      </c>
      <c r="L68" s="382">
        <f>K68+$O$68/12</f>
      </c>
      <c r="M68" s="382">
        <f>L68+$O$68/12</f>
      </c>
      <c r="N68" s="383">
        <f>M68+$O$68/12</f>
      </c>
      <c r="O68" s="200">
        <f>0.5*O66</f>
      </c>
      <c r="P68" s="384">
        <f>O68/O66</f>
      </c>
      <c r="Q68" s="3"/>
      <c r="R68" s="3"/>
      <c r="S68" s="3"/>
    </row>
    <row x14ac:dyDescent="0.25" r="69" customHeight="1" ht="19.5">
      <c r="A69" s="385" t="s">
        <v>421</v>
      </c>
      <c r="B69" s="386"/>
      <c r="C69" s="165">
        <f>C65</f>
      </c>
      <c r="D69" s="165">
        <f>C69+D65</f>
      </c>
      <c r="E69" s="165">
        <f>D69+E65</f>
      </c>
      <c r="F69" s="165">
        <f>E69+F65</f>
      </c>
      <c r="G69" s="165">
        <f>F69+G65</f>
      </c>
      <c r="H69" s="378">
        <f>G69+H65</f>
      </c>
      <c r="I69" s="165">
        <f>H69+I65</f>
      </c>
      <c r="J69" s="165">
        <f>I69+J65</f>
      </c>
      <c r="K69" s="165">
        <f>J69+K65</f>
      </c>
      <c r="L69" s="165">
        <f>K69+L65</f>
      </c>
      <c r="M69" s="165">
        <f>L69+M65</f>
      </c>
      <c r="N69" s="378">
        <f>M69+N65</f>
      </c>
      <c r="O69" s="8"/>
      <c r="P69" s="3"/>
      <c r="Q69" s="3"/>
      <c r="R69" s="3"/>
      <c r="S69" s="3"/>
    </row>
    <row x14ac:dyDescent="0.25" r="70" customHeight="1" ht="19.5">
      <c r="A70" s="365" t="s">
        <v>422</v>
      </c>
      <c r="B70" s="372"/>
      <c r="C70" s="366">
        <v>276408.88</v>
      </c>
      <c r="D70" s="366">
        <v>810219.39</v>
      </c>
      <c r="E70" s="366">
        <v>1222990.72</v>
      </c>
      <c r="F70" s="366">
        <v>1393067.62</v>
      </c>
      <c r="G70" s="366">
        <v>3383382.32</v>
      </c>
      <c r="H70" s="366">
        <v>4187121</v>
      </c>
      <c r="I70" s="366">
        <v>4422240.98</v>
      </c>
      <c r="J70" s="366">
        <v>4511704.25</v>
      </c>
      <c r="K70" s="366">
        <v>6332709.939999999</v>
      </c>
      <c r="L70" s="366">
        <v>7258662.119999999</v>
      </c>
      <c r="M70" s="366">
        <v>7518405.48</v>
      </c>
      <c r="N70" s="366">
        <v>8510925.82</v>
      </c>
      <c r="O70" s="8"/>
      <c r="P70" s="3"/>
      <c r="Q70" s="3"/>
      <c r="R70" s="3"/>
      <c r="S70" s="3"/>
    </row>
    <row x14ac:dyDescent="0.25" r="71" customHeight="1" ht="18">
      <c r="A71" s="261" t="s">
        <v>423</v>
      </c>
      <c r="B71" s="337"/>
      <c r="C71" s="387"/>
      <c r="D71" s="387"/>
      <c r="E71" s="387"/>
      <c r="F71" s="387"/>
      <c r="G71" s="228"/>
      <c r="H71" s="338"/>
      <c r="I71" s="228"/>
      <c r="J71" s="228"/>
      <c r="K71" s="228"/>
      <c r="L71" s="228"/>
      <c r="M71" s="228"/>
      <c r="N71" s="338"/>
      <c r="O71" s="8"/>
      <c r="P71" s="3"/>
      <c r="Q71" s="3"/>
      <c r="R71" s="3"/>
      <c r="S71" s="3"/>
    </row>
    <row x14ac:dyDescent="0.25" r="72" customHeight="1" ht="19.5">
      <c r="A72" s="388" t="s">
        <v>424</v>
      </c>
      <c r="B72" s="389"/>
      <c r="C72" s="390">
        <f>$O$72/12</f>
      </c>
      <c r="D72" s="390">
        <f>$O$72/12</f>
      </c>
      <c r="E72" s="390">
        <f>$O$72/12</f>
      </c>
      <c r="F72" s="390">
        <f>$O$72/12</f>
      </c>
      <c r="G72" s="390">
        <f>$O$72/12</f>
      </c>
      <c r="H72" s="391">
        <f>$O$72/12</f>
      </c>
      <c r="I72" s="390">
        <f>$O$72/12</f>
      </c>
      <c r="J72" s="390">
        <f>$O$72/12</f>
      </c>
      <c r="K72" s="390">
        <f>$O$72/12</f>
      </c>
      <c r="L72" s="390">
        <f>$O$72/12</f>
      </c>
      <c r="M72" s="390">
        <f>$O$72/12</f>
      </c>
      <c r="N72" s="391">
        <f>$O$72/12</f>
      </c>
      <c r="O72" s="9">
        <v>7000000</v>
      </c>
      <c r="P72" s="3"/>
      <c r="Q72" s="3"/>
      <c r="R72" s="3"/>
      <c r="S72" s="3"/>
    </row>
    <row x14ac:dyDescent="0.25" r="73" customHeight="1" ht="19.5">
      <c r="A73" s="388" t="s">
        <v>425</v>
      </c>
      <c r="B73" s="389"/>
      <c r="C73" s="390">
        <f>$O$73/12</f>
      </c>
      <c r="D73" s="390">
        <f>$O$73/12</f>
      </c>
      <c r="E73" s="390">
        <f>$O$73/12</f>
      </c>
      <c r="F73" s="390">
        <f>$O$73/12</f>
      </c>
      <c r="G73" s="390">
        <f>$O$73/12</f>
      </c>
      <c r="H73" s="391">
        <f>$O$73/12</f>
      </c>
      <c r="I73" s="390">
        <f>$O$73/12</f>
      </c>
      <c r="J73" s="390">
        <f>$O$73/12</f>
      </c>
      <c r="K73" s="390">
        <f>$O$73/12</f>
      </c>
      <c r="L73" s="390">
        <f>$O$73/12</f>
      </c>
      <c r="M73" s="390">
        <f>$O$73/12</f>
      </c>
      <c r="N73" s="391">
        <f>$O$73/12</f>
      </c>
      <c r="O73" s="200">
        <v>5000000</v>
      </c>
      <c r="P73" s="3"/>
      <c r="Q73" s="3"/>
      <c r="R73" s="3"/>
      <c r="S73" s="3"/>
    </row>
    <row x14ac:dyDescent="0.25" r="74" customHeight="1" ht="19.5">
      <c r="A74" s="376" t="s">
        <v>426</v>
      </c>
      <c r="B74" s="377"/>
      <c r="C74" s="352">
        <f>SUM(C6:C9)</f>
      </c>
      <c r="D74" s="352">
        <f>SUM(D6:D9)</f>
      </c>
      <c r="E74" s="352">
        <f>SUM(E6:E9)</f>
      </c>
      <c r="F74" s="352">
        <f>SUM(F6:F9)</f>
      </c>
      <c r="G74" s="352">
        <f>SUM(G6:G9)</f>
      </c>
      <c r="H74" s="352">
        <f>SUM(H6:H9)</f>
      </c>
      <c r="I74" s="352">
        <f>SUM(I6:I9)</f>
      </c>
      <c r="J74" s="352">
        <f>SUM(J6:J9)</f>
      </c>
      <c r="K74" s="352">
        <f>SUM(K6:K9)</f>
      </c>
      <c r="L74" s="352">
        <f>SUM(L6:L9)</f>
      </c>
      <c r="M74" s="352">
        <f>SUM(M6:M9)</f>
      </c>
      <c r="N74" s="352">
        <f>SUM(N6:N9)</f>
      </c>
      <c r="O74" s="9"/>
      <c r="P74" s="3"/>
      <c r="Q74" s="3"/>
      <c r="R74" s="3"/>
      <c r="S74" s="3"/>
    </row>
    <row x14ac:dyDescent="0.25" r="75" customHeight="1" ht="19.5">
      <c r="A75" s="388" t="s">
        <v>427</v>
      </c>
      <c r="B75" s="389"/>
      <c r="C75" s="390">
        <f>C72</f>
      </c>
      <c r="D75" s="390">
        <f>C75+D72</f>
      </c>
      <c r="E75" s="390">
        <f>D75+E72</f>
      </c>
      <c r="F75" s="390">
        <f>E75+F72</f>
      </c>
      <c r="G75" s="390">
        <f>F75+G72</f>
      </c>
      <c r="H75" s="391">
        <f>G75+H72</f>
      </c>
      <c r="I75" s="390">
        <f>H75+I72</f>
      </c>
      <c r="J75" s="390">
        <f>I75+J72</f>
      </c>
      <c r="K75" s="390">
        <f>J75+K72</f>
      </c>
      <c r="L75" s="390">
        <f>K75+L72</f>
      </c>
      <c r="M75" s="390">
        <f>L75+M72</f>
      </c>
      <c r="N75" s="391">
        <f>M75+N72</f>
      </c>
      <c r="O75" s="9">
        <v>7000000</v>
      </c>
      <c r="P75" s="3"/>
      <c r="Q75" s="3"/>
      <c r="R75" s="3"/>
      <c r="S75" s="3"/>
    </row>
    <row x14ac:dyDescent="0.25" r="76" customHeight="1" ht="19.5">
      <c r="A76" s="392" t="s">
        <v>428</v>
      </c>
      <c r="B76" s="393"/>
      <c r="C76" s="394">
        <f>C73</f>
      </c>
      <c r="D76" s="394">
        <f>C76+D73</f>
      </c>
      <c r="E76" s="394">
        <f>D76+E73</f>
      </c>
      <c r="F76" s="394">
        <f>E76+F73</f>
      </c>
      <c r="G76" s="394">
        <f>F76+G73</f>
      </c>
      <c r="H76" s="395">
        <f>G76+H73</f>
      </c>
      <c r="I76" s="394">
        <f>H76+I73</f>
      </c>
      <c r="J76" s="394">
        <f>I76+J73</f>
      </c>
      <c r="K76" s="394">
        <f>J76+K73</f>
      </c>
      <c r="L76" s="394">
        <f>K76+L73</f>
      </c>
      <c r="M76" s="394">
        <f>L76+M73</f>
      </c>
      <c r="N76" s="395">
        <f>M76+N73</f>
      </c>
      <c r="O76" s="200">
        <v>5000000</v>
      </c>
      <c r="P76" s="3"/>
      <c r="Q76" s="3"/>
      <c r="R76" s="3"/>
      <c r="S76" s="3"/>
    </row>
    <row x14ac:dyDescent="0.25" r="77" customHeight="1" ht="19.5">
      <c r="A77" s="380" t="s">
        <v>429</v>
      </c>
      <c r="B77" s="381"/>
      <c r="C77" s="382">
        <f>O77/12</f>
      </c>
      <c r="D77" s="382">
        <f>C77+$O$77/12</f>
      </c>
      <c r="E77" s="382">
        <f>D77+$O$77/12</f>
      </c>
      <c r="F77" s="382">
        <f>E77+$O$77/12</f>
      </c>
      <c r="G77" s="382">
        <f>F77+$O$77/12</f>
      </c>
      <c r="H77" s="382">
        <f>G77+$O$77/12</f>
      </c>
      <c r="I77" s="382">
        <f>H77+$O$77/12</f>
      </c>
      <c r="J77" s="382">
        <f>I77+$O$77/12</f>
      </c>
      <c r="K77" s="382">
        <f>J77+$O$77/12</f>
      </c>
      <c r="L77" s="382">
        <f>K77+$O$77/12</f>
      </c>
      <c r="M77" s="382">
        <f>L77+$O$77/12</f>
      </c>
      <c r="N77" s="382">
        <f>M77+$O$77/12</f>
      </c>
      <c r="O77" s="200">
        <f>0.5*O75</f>
      </c>
      <c r="P77" s="384">
        <f>O77/O75</f>
      </c>
      <c r="Q77" s="3"/>
      <c r="R77" s="3"/>
      <c r="S77" s="3"/>
    </row>
    <row x14ac:dyDescent="0.25" r="78" customHeight="1" ht="19.5">
      <c r="A78" s="385" t="s">
        <v>430</v>
      </c>
      <c r="B78" s="386"/>
      <c r="C78" s="165">
        <f>C74</f>
      </c>
      <c r="D78" s="165">
        <f>C78+D74</f>
      </c>
      <c r="E78" s="165">
        <f>D78+E74</f>
      </c>
      <c r="F78" s="165">
        <f>E78+F74</f>
      </c>
      <c r="G78" s="165">
        <f>F78+G74</f>
      </c>
      <c r="H78" s="378">
        <f>G78+H74</f>
      </c>
      <c r="I78" s="165">
        <f>H78+I74</f>
      </c>
      <c r="J78" s="165">
        <f>I78+J74</f>
      </c>
      <c r="K78" s="165">
        <f>J78+K74</f>
      </c>
      <c r="L78" s="165">
        <f>K78+L74</f>
      </c>
      <c r="M78" s="165">
        <f>L78+M74</f>
      </c>
      <c r="N78" s="378">
        <f>M78+N74</f>
      </c>
      <c r="O78" s="9"/>
      <c r="P78" s="3"/>
      <c r="Q78" s="3"/>
      <c r="R78" s="3"/>
      <c r="S78" s="3"/>
    </row>
    <row x14ac:dyDescent="0.25" r="79" customHeight="1" ht="19.5">
      <c r="A79" s="396" t="s">
        <v>431</v>
      </c>
      <c r="B79" s="393"/>
      <c r="C79" s="397">
        <v>365466</v>
      </c>
      <c r="D79" s="397">
        <v>1342832</v>
      </c>
      <c r="E79" s="397">
        <v>1853515</v>
      </c>
      <c r="F79" s="397">
        <v>2768619</v>
      </c>
      <c r="G79" s="397">
        <v>3308599</v>
      </c>
      <c r="H79" s="398">
        <v>4234927</v>
      </c>
      <c r="I79" s="397">
        <v>5510658</v>
      </c>
      <c r="J79" s="397">
        <v>6630589</v>
      </c>
      <c r="K79" s="397">
        <v>7371928</v>
      </c>
      <c r="L79" s="397">
        <v>7568091</v>
      </c>
      <c r="M79" s="397">
        <v>7755500</v>
      </c>
      <c r="N79" s="398">
        <v>9308833</v>
      </c>
      <c r="O79" s="9"/>
      <c r="P79" s="3"/>
      <c r="Q79" s="3"/>
      <c r="R79" s="3"/>
      <c r="S79" s="3"/>
    </row>
    <row x14ac:dyDescent="0.25" r="80" customHeight="1" ht="19.5">
      <c r="A80" s="206"/>
      <c r="B80" s="337"/>
      <c r="C80" s="228"/>
      <c r="D80" s="228"/>
      <c r="E80" s="228"/>
      <c r="F80" s="228"/>
      <c r="G80" s="228"/>
      <c r="H80" s="338"/>
      <c r="I80" s="228"/>
      <c r="J80" s="228"/>
      <c r="K80" s="228"/>
      <c r="L80" s="228"/>
      <c r="M80" s="228"/>
      <c r="N80" s="338"/>
      <c r="O80" s="8"/>
      <c r="P80" s="3"/>
      <c r="Q80" s="3"/>
      <c r="R80" s="3"/>
      <c r="S80" s="3"/>
    </row>
    <row x14ac:dyDescent="0.25" r="81" customHeight="1" ht="19.5">
      <c r="A81" s="8"/>
      <c r="B81" s="332"/>
      <c r="C81" s="8"/>
      <c r="D81" s="8"/>
      <c r="E81" s="8"/>
      <c r="F81" s="8"/>
      <c r="G81" s="8"/>
      <c r="H81" s="399"/>
      <c r="I81" s="8"/>
      <c r="J81" s="8"/>
      <c r="K81" s="8"/>
      <c r="L81" s="8"/>
      <c r="M81" s="8"/>
      <c r="N81" s="8"/>
      <c r="O81" s="8"/>
      <c r="P81" s="3"/>
      <c r="Q81" s="3"/>
      <c r="R81" s="3"/>
      <c r="S8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6"/>
  <sheetViews>
    <sheetView workbookViewId="0"/>
  </sheetViews>
  <sheetFormatPr defaultRowHeight="15" x14ac:dyDescent="0.25"/>
  <cols>
    <col min="1" max="1" style="17" width="17.005" customWidth="1" bestFit="1"/>
    <col min="2" max="2" style="18" width="21.862142857142857" customWidth="1" bestFit="1"/>
    <col min="3" max="3" style="47" width="10.005" customWidth="1" bestFit="1"/>
    <col min="4" max="4" style="47" width="10.43357142857143" customWidth="1" bestFit="1"/>
    <col min="5" max="5" style="47" width="10.43357142857143" customWidth="1" bestFit="1"/>
    <col min="6" max="6" style="47" width="10.43357142857143" customWidth="1" bestFit="1"/>
    <col min="7" max="7" style="47" width="10.43357142857143" customWidth="1" bestFit="1"/>
    <col min="8" max="8" style="47" width="12.862142857142858" customWidth="1" bestFit="1"/>
    <col min="9" max="9" style="47" width="12.862142857142858" customWidth="1" bestFit="1"/>
    <col min="10" max="10" style="47" width="10.43357142857143" customWidth="1" bestFit="1"/>
    <col min="11" max="11" style="47" width="9.43357142857143" customWidth="1" bestFit="1"/>
    <col min="12" max="12" style="47" width="9.43357142857143" customWidth="1" bestFit="1"/>
    <col min="13" max="13" style="47" width="8.147857142857141" customWidth="1" bestFit="1"/>
    <col min="14" max="14" style="47" width="10.43357142857143" customWidth="1" bestFit="1"/>
    <col min="15" max="15" style="17" width="11.862142857142858" customWidth="1" bestFit="1"/>
    <col min="16" max="16" style="17" width="11.862142857142858" customWidth="1" bestFit="1"/>
    <col min="17" max="17" style="17" width="14.147857142857141" customWidth="1" bestFit="1"/>
    <col min="18" max="18" style="17" width="14.147857142857141" customWidth="1" bestFit="1"/>
    <col min="19" max="19" style="17" width="14.147857142857141" customWidth="1" bestFit="1"/>
  </cols>
  <sheetData>
    <row x14ac:dyDescent="0.25" r="1" customHeight="1" ht="19.5">
      <c r="A1" s="111"/>
      <c r="B1" s="161" t="s">
        <v>346</v>
      </c>
      <c r="C1" s="229">
        <v>25569.04217820602</v>
      </c>
      <c r="D1" s="230">
        <v>25569.042178564814</v>
      </c>
      <c r="E1" s="230">
        <v>25569.04217888889</v>
      </c>
      <c r="F1" s="230">
        <v>25569.042179247685</v>
      </c>
      <c r="G1" s="229">
        <v>25569.042179594908</v>
      </c>
      <c r="H1" s="230">
        <v>25569.042179953703</v>
      </c>
      <c r="I1" s="230">
        <v>25569.042180300927</v>
      </c>
      <c r="J1" s="230">
        <v>25569.042180659722</v>
      </c>
      <c r="K1" s="229">
        <v>25569.042181018518</v>
      </c>
      <c r="L1" s="230">
        <v>25569.04218136574</v>
      </c>
      <c r="M1" s="230">
        <v>25569.042181724537</v>
      </c>
      <c r="N1" s="230">
        <v>25569.04218207176</v>
      </c>
      <c r="O1" s="236" t="s">
        <v>86</v>
      </c>
      <c r="P1" s="3"/>
      <c r="Q1" s="3"/>
      <c r="R1" s="3"/>
      <c r="S1" s="3"/>
    </row>
    <row x14ac:dyDescent="0.25" r="2" customHeight="1" ht="19.5">
      <c r="A2" s="3" t="s">
        <v>347</v>
      </c>
      <c r="B2" s="237"/>
      <c r="C2" s="238">
        <f>SUMIFS(Data!$I:$I,Data!$D:$D,"&gt;"&amp;C$1,Data!$D:$D,"&lt;="&amp;EOMONTH(C$1,0),Data!$G:$G,"AIA*",Data!$K:$K,"&lt;&gt;"&amp;"Trading")</f>
      </c>
      <c r="D2" s="239">
        <f>SUMIFS(Data!$I:$I,Data!$D:$D,"&gt;"&amp;D$1,Data!$D:$D,"&lt;="&amp;EOMONTH(D$1,0),Data!$G:$G,"AIA*",Data!$K:$K,"&lt;&gt;"&amp;"Trading")</f>
      </c>
      <c r="E2" s="239">
        <f>SUMIFS(Data!$I:$I,Data!$D:$D,"&gt;"&amp;E$1,Data!$D:$D,"&lt;="&amp;EOMONTH(E$1,0),Data!$G:$G,"AIA*",Data!$K:$K,"&lt;&gt;"&amp;"Trading")</f>
      </c>
      <c r="F2" s="239">
        <f>SUMIFS(Data!$I:$I,Data!$D:$D,"&gt;"&amp;F$1,Data!$D:$D,"&lt;="&amp;EOMONTH(F$1,0),Data!$G:$G,"AIA*",Data!$K:$K,"&lt;&gt;"&amp;"Trading")</f>
      </c>
      <c r="G2" s="239">
        <f>SUMIFS(Data!$I:$I,Data!$D:$D,"&gt;"&amp;G$1,Data!$D:$D,"&lt;="&amp;EOMONTH(G$1,0),Data!$G:$G,"AIA*",Data!$K:$K,"&lt;&gt;"&amp;"Trading")</f>
      </c>
      <c r="H2" s="239">
        <f>SUMIFS(Data!$I:$I,Data!$D:$D,"&gt;"&amp;H$1,Data!$D:$D,"&lt;="&amp;EOMONTH(H$1,0),Data!$G:$G,"AIA*",Data!$K:$K,"&lt;&gt;"&amp;"Trading")</f>
      </c>
      <c r="I2" s="239">
        <f>SUMIFS(Data!$I:$I,Data!$D:$D,"&gt;"&amp;I$1,Data!$D:$D,"&lt;="&amp;EOMONTH(I$1,0),Data!$G:$G,"AIA*",Data!$K:$K,"&lt;&gt;"&amp;"Trading")</f>
      </c>
      <c r="J2" s="239">
        <f>SUMIFS(Data!$I:$I,Data!$D:$D,"&gt;"&amp;J$1,Data!$D:$D,"&lt;="&amp;EOMONTH(J$1,0),Data!$G:$G,"AIA*",Data!$K:$K,"&lt;&gt;"&amp;"Trading")</f>
      </c>
      <c r="K2" s="239">
        <f>SUMIFS(Data!$I:$I,Data!$D:$D,"&gt;"&amp;K$1,Data!$D:$D,"&lt;="&amp;EOMONTH(K$1,0),Data!$G:$G,"AIA*",Data!$K:$K,"&lt;&gt;"&amp;"Trading")</f>
      </c>
      <c r="L2" s="239">
        <f>SUMIFS(Data!$I:$I,Data!$D:$D,"&gt;"&amp;L$1,Data!$D:$D,"&lt;="&amp;EOMONTH(L$1,0),Data!$G:$G,"AIA*",Data!$K:$K,"&lt;&gt;"&amp;"Trading")</f>
      </c>
      <c r="M2" s="239">
        <f>SUMIFS(Data!$I:$I,Data!$D:$D,"&gt;"&amp;M$1,Data!$D:$D,"&lt;="&amp;EOMONTH(M$1,0),Data!$G:$G,"AIA*",Data!$K:$K,"&lt;&gt;"&amp;"Trading")</f>
      </c>
      <c r="N2" s="240">
        <f>SUMIFS(Data!$I:$I,Data!$D:$D,"&gt;"&amp;N$1,Data!$D:$D,"&lt;="&amp;EOMONTH(N$1,0),Data!$G:$G,"AIA*",Data!$K:$K,"&lt;&gt;"&amp;"Trading")</f>
      </c>
      <c r="O2" s="234">
        <f>SUM(C2:N2)</f>
      </c>
      <c r="P2" s="3"/>
      <c r="Q2" s="3"/>
      <c r="R2" s="3"/>
      <c r="S2" s="3"/>
    </row>
    <row x14ac:dyDescent="0.25" r="3" customHeight="1" ht="19.5">
      <c r="A3" s="111" t="s">
        <v>348</v>
      </c>
      <c r="B3" s="241"/>
      <c r="C3" s="234">
        <f>SUMIFS(Data!$I:$I,Data!$D:$D,"&gt;"&amp;C$1,Data!$D:$D,"&lt;="&amp;EOMONTH(C$1,0),Data!$G:$G,"AIA*",Data!$K:$K,"Trading")</f>
      </c>
      <c r="D3" s="159">
        <f>SUMIFS(Data!$I:$I,Data!$D:$D,"&gt;"&amp;D$1,Data!$D:$D,"&lt;="&amp;EOMONTH(D$1,0),Data!$G:$G,"AIA*",Data!$K:$K,"Trading")</f>
      </c>
      <c r="E3" s="159">
        <f>SUMIFS(Data!$I:$I,Data!$D:$D,"&gt;"&amp;E$1,Data!$D:$D,"&lt;="&amp;EOMONTH(E$1,0),Data!$G:$G,"AIA*",Data!$K:$K,"Trading")</f>
      </c>
      <c r="F3" s="159">
        <f>SUMIFS(Data!$I:$I,Data!$D:$D,"&gt;"&amp;F$1,Data!$D:$D,"&lt;="&amp;EOMONTH(F$1,0),Data!$G:$G,"AIA*",Data!$K:$K,"Trading")</f>
      </c>
      <c r="G3" s="159">
        <f>SUMIFS(Data!$I:$I,Data!$D:$D,"&gt;"&amp;G$1,Data!$D:$D,"&lt;="&amp;EOMONTH(G$1,0),Data!$G:$G,"AIA*",Data!$K:$K,"Trading")</f>
      </c>
      <c r="H3" s="159">
        <f>SUMIFS(Data!$I:$I,Data!$D:$D,"&gt;"&amp;H$1,Data!$D:$D,"&lt;="&amp;EOMONTH(H$1,0),Data!$G:$G,"AIA*",Data!$K:$K,"Trading")</f>
      </c>
      <c r="I3" s="159">
        <f>SUMIFS(Data!$I:$I,Data!$D:$D,"&gt;"&amp;I$1,Data!$D:$D,"&lt;="&amp;EOMONTH(I$1,0),Data!$G:$G,"AIA*",Data!$K:$K,"Trading")</f>
      </c>
      <c r="J3" s="159">
        <f>SUMIFS(Data!$I:$I,Data!$D:$D,"&gt;"&amp;J$1,Data!$D:$D,"&lt;="&amp;EOMONTH(J$1,0),Data!$G:$G,"AIA*",Data!$K:$K,"Trading")</f>
      </c>
      <c r="K3" s="159">
        <f>SUMIFS(Data!$I:$I,Data!$D:$D,"&gt;"&amp;K$1,Data!$D:$D,"&lt;="&amp;EOMONTH(K$1,0),Data!$G:$G,"AIA*",Data!$K:$K,"Trading")</f>
      </c>
      <c r="L3" s="159">
        <f>SUMIFS(Data!$I:$I,Data!$D:$D,"&gt;"&amp;L$1,Data!$D:$D,"&lt;="&amp;EOMONTH(L$1,0),Data!$G:$G,"AIA*",Data!$K:$K,"Trading")</f>
      </c>
      <c r="M3" s="159">
        <f>SUMIFS(Data!$I:$I,Data!$D:$D,"&gt;"&amp;M$1,Data!$D:$D,"&lt;="&amp;EOMONTH(M$1,0),Data!$G:$G,"AIA*",Data!$K:$K,"Trading")</f>
      </c>
      <c r="N3" s="242">
        <f>SUMIFS(Data!$I:$I,Data!$D:$D,"&gt;"&amp;N$1,Data!$D:$D,"&lt;="&amp;EOMONTH(N$1,0),Data!$G:$G,"AIA*",Data!$K:$K,"Trading")</f>
      </c>
      <c r="O3" s="232">
        <f>SUM(C3:N3)</f>
      </c>
      <c r="P3" s="3"/>
      <c r="Q3" s="3"/>
      <c r="R3" s="3"/>
      <c r="S3" s="3"/>
    </row>
    <row x14ac:dyDescent="0.25" r="4" customHeight="1" ht="19.5">
      <c r="A4" s="3" t="s">
        <v>349</v>
      </c>
      <c r="B4" s="9">
        <v>1590</v>
      </c>
      <c r="C4" s="243">
        <f>SUMIFS(Data!$S:$S,Data!$Q:$Q,"&gt;"&amp;C$1,Data!$Q:$Q,"&lt;="&amp;EOMONTH(C$1,0),Data!$G:$G,"AIA*",Data!$K:$K,"&lt;&gt;"&amp;"Trading")</f>
      </c>
      <c r="D4" s="243">
        <f>SUMIFS(Data!$S:$S,Data!$Q:$Q,"&gt;"&amp;D$1,Data!$Q:$Q,"&lt;="&amp;EOMONTH(D$1,0),Data!$G:$G,"AIA*",Data!$K:$K,"&lt;&gt;"&amp;"Trading")</f>
      </c>
      <c r="E4" s="243">
        <f>SUMIFS(Data!$S:$S,Data!$Q:$Q,"&gt;"&amp;E$1,Data!$Q:$Q,"&lt;="&amp;EOMONTH(E$1,0),Data!$G:$G,"AIA*",Data!$K:$K,"&lt;&gt;"&amp;"Trading")</f>
      </c>
      <c r="F4" s="243">
        <f>SUMIFS(Data!$S:$S,Data!$Q:$Q,"&gt;"&amp;F$1,Data!$Q:$Q,"&lt;="&amp;EOMONTH(F$1,0),Data!$G:$G,"AIA*",Data!$K:$K,"&lt;&gt;"&amp;"Trading")</f>
      </c>
      <c r="G4" s="243">
        <f>SUMIFS(Data!$S:$S,Data!$Q:$Q,"&gt;"&amp;G$1,Data!$Q:$Q,"&lt;="&amp;EOMONTH(G$1,0),Data!$G:$G,"AIA*",Data!$K:$K,"&lt;&gt;"&amp;"Trading")</f>
      </c>
      <c r="H4" s="243">
        <f>SUMIFS(Data!$S:$S,Data!$Q:$Q,"&gt;"&amp;H$1,Data!$Q:$Q,"&lt;="&amp;EOMONTH(H$1,0),Data!$G:$G,"AIA*",Data!$K:$K,"&lt;&gt;"&amp;"Trading")</f>
      </c>
      <c r="I4" s="243">
        <f>SUMIFS(Data!$S:$S,Data!$Q:$Q,"&gt;"&amp;I$1,Data!$Q:$Q,"&lt;="&amp;EOMONTH(I$1,0),Data!$G:$G,"AIA*",Data!$K:$K,"&lt;&gt;"&amp;"Trading")</f>
      </c>
      <c r="J4" s="243">
        <f>SUMIFS(Data!$S:$S,Data!$Q:$Q,"&gt;"&amp;J$1,Data!$Q:$Q,"&lt;="&amp;EOMONTH(J$1,0),Data!$G:$G,"AIA*",Data!$K:$K,"&lt;&gt;"&amp;"Trading")</f>
      </c>
      <c r="K4" s="243">
        <f>SUMIFS(Data!$S:$S,Data!$Q:$Q,"&gt;"&amp;K$1,Data!$Q:$Q,"&lt;="&amp;EOMONTH(K$1,0),Data!$G:$G,"AIA*",Data!$K:$K,"&lt;&gt;"&amp;"Trading")</f>
      </c>
      <c r="L4" s="243">
        <f>SUMIFS(Data!$S:$S,Data!$Q:$Q,"&gt;"&amp;L$1,Data!$Q:$Q,"&lt;="&amp;EOMONTH(L$1,0),Data!$G:$G,"AIA*",Data!$K:$K,"&lt;&gt;"&amp;"Trading")</f>
      </c>
      <c r="M4" s="243">
        <f>SUMIFS(Data!$S:$S,Data!$Q:$Q,"&gt;"&amp;M$1,Data!$Q:$Q,"&lt;="&amp;EOMONTH(M$1,0),Data!$G:$G,"AIA*",Data!$K:$K,"&lt;&gt;"&amp;"Trading")</f>
      </c>
      <c r="N4" s="243">
        <f>SUMIFS(Data!$S:$S,Data!$Q:$Q,"&gt;"&amp;N$1,Data!$Q:$Q,"&lt;="&amp;EOMONTH(N$1,0),Data!$G:$G,"AIA*",Data!$K:$K,"&lt;&gt;"&amp;"Trading")</f>
      </c>
      <c r="O4" s="244">
        <f>SUM(B4:N4)</f>
      </c>
      <c r="P4" s="3"/>
      <c r="Q4" s="3"/>
      <c r="R4" s="3"/>
      <c r="S4" s="3"/>
    </row>
    <row x14ac:dyDescent="0.25" r="5" customHeight="1" ht="19.5">
      <c r="A5" s="111" t="s">
        <v>350</v>
      </c>
      <c r="B5" s="159">
        <v>266850</v>
      </c>
      <c r="C5" s="245">
        <f>SUMIFS(Data!$S:$S,Data!$Q:$Q,"&gt;"&amp;C$1,Data!$Q:$Q,"&lt;="&amp;EOMONTH(C$1,0),Data!$G:$G,"AIA*",Data!$K:$K,"Trading")</f>
      </c>
      <c r="D5" s="245">
        <f>SUMIFS(Data!$S:$S,Data!$Q:$Q,"&gt;"&amp;D$1,Data!$Q:$Q,"&lt;="&amp;EOMONTH(D$1,0),Data!$G:$G,"AIA*",Data!$K:$K,"Trading")</f>
      </c>
      <c r="E5" s="245">
        <f>SUMIFS(Data!$S:$S,Data!$Q:$Q,"&gt;"&amp;E$1,Data!$Q:$Q,"&lt;="&amp;EOMONTH(E$1,0),Data!$G:$G,"AIA*",Data!$K:$K,"Trading")</f>
      </c>
      <c r="F5" s="245">
        <f>SUMIFS(Data!$S:$S,Data!$Q:$Q,"&gt;"&amp;F$1,Data!$Q:$Q,"&lt;="&amp;EOMONTH(F$1,0),Data!$G:$G,"AIA*",Data!$K:$K,"Trading")</f>
      </c>
      <c r="G5" s="245">
        <f>SUMIFS(Data!$S:$S,Data!$Q:$Q,"&gt;"&amp;G$1,Data!$Q:$Q,"&lt;="&amp;EOMONTH(G$1,0),Data!$G:$G,"AIA*",Data!$K:$K,"Trading")</f>
      </c>
      <c r="H5" s="245">
        <f>SUMIFS(Data!$S:$S,Data!$Q:$Q,"&gt;"&amp;H$1,Data!$Q:$Q,"&lt;="&amp;EOMONTH(H$1,0),Data!$G:$G,"AIA*",Data!$K:$K,"Trading")</f>
      </c>
      <c r="I5" s="245">
        <f>SUMIFS(Data!$S:$S,Data!$Q:$Q,"&gt;"&amp;I$1,Data!$Q:$Q,"&lt;="&amp;EOMONTH(I$1,0),Data!$G:$G,"AIA*",Data!$K:$K,"Trading")</f>
      </c>
      <c r="J5" s="245">
        <f>SUMIFS(Data!$S:$S,Data!$Q:$Q,"&gt;"&amp;J$1,Data!$Q:$Q,"&lt;="&amp;EOMONTH(J$1,0),Data!$G:$G,"AIA*",Data!$K:$K,"Trading")</f>
      </c>
      <c r="K5" s="245">
        <f>SUMIFS(Data!$S:$S,Data!$Q:$Q,"&gt;"&amp;K$1,Data!$Q:$Q,"&lt;="&amp;EOMONTH(K$1,0),Data!$G:$G,"AIA*",Data!$K:$K,"Trading")</f>
      </c>
      <c r="L5" s="245">
        <f>SUMIFS(Data!$S:$S,Data!$Q:$Q,"&gt;"&amp;L$1,Data!$Q:$Q,"&lt;="&amp;EOMONTH(L$1,0),Data!$G:$G,"AIA*",Data!$K:$K,"Trading")</f>
      </c>
      <c r="M5" s="245">
        <f>SUMIFS(Data!$S:$S,Data!$Q:$Q,"&gt;"&amp;M$1,Data!$Q:$Q,"&lt;="&amp;EOMONTH(M$1,0),Data!$G:$G,"AIA*",Data!$K:$K,"Trading")</f>
      </c>
      <c r="N5" s="245">
        <f>SUMIFS(Data!$S:$S,Data!$Q:$Q,"&gt;"&amp;N$1,Data!$Q:$Q,"&lt;="&amp;EOMONTH(N$1,0),Data!$G:$G,"AIA*",Data!$K:$K,"Trading")</f>
      </c>
      <c r="O5" s="246">
        <f>SUM(B5:N5)</f>
      </c>
      <c r="P5" s="247">
        <f>O4+O5</f>
      </c>
      <c r="Q5" s="3"/>
      <c r="R5" s="3"/>
      <c r="S5" s="3"/>
    </row>
    <row x14ac:dyDescent="0.25" r="6" customHeight="1" ht="19.5">
      <c r="A6" s="3" t="s">
        <v>351</v>
      </c>
      <c r="B6" s="237"/>
      <c r="C6" s="248">
        <f>SUMIFS(Data!$AD:$AD,Data!$AC:$AC,"&gt;"&amp;C$1,Data!$AC:$AC,"&lt;="&amp;EOMONTH(C$1,0),Data!$G:$G,"AIA*",Data!$K:$K,"&lt;&gt;"&amp;"Trading")</f>
      </c>
      <c r="D6" s="248">
        <f>SUMIFS(Data!$AD:$AD,Data!$AC:$AC,"&gt;"&amp;D$1,Data!$AC:$AC,"&lt;="&amp;EOMONTH(D$1,0),Data!$G:$G,"AIA*",Data!$K:$K,"&lt;&gt;"&amp;"Trading")</f>
      </c>
      <c r="E6" s="248">
        <f>SUMIFS(Data!$AD:$AD,Data!$AC:$AC,"&gt;"&amp;E$1,Data!$AC:$AC,"&lt;="&amp;EOMONTH(E$1,0),Data!$G:$G,"AIA*",Data!$K:$K,"&lt;&gt;"&amp;"Trading")</f>
      </c>
      <c r="F6" s="248">
        <f>SUMIFS(Data!$AD:$AD,Data!$AC:$AC,"&gt;"&amp;F$1,Data!$AC:$AC,"&lt;="&amp;EOMONTH(F$1,0),Data!$G:$G,"AIA*",Data!$K:$K,"&lt;&gt;"&amp;"Trading")</f>
      </c>
      <c r="G6" s="248">
        <f>SUMIFS(Data!$AD:$AD,Data!$AC:$AC,"&gt;"&amp;G$1,Data!$AC:$AC,"&lt;="&amp;EOMONTH(G$1,0),Data!$G:$G,"AIA*",Data!$K:$K,"&lt;&gt;"&amp;"Trading")</f>
      </c>
      <c r="H6" s="248">
        <f>SUMIFS(Data!$AD:$AD,Data!$AC:$AC,"&gt;"&amp;H$1,Data!$AC:$AC,"&lt;="&amp;EOMONTH(H$1,0),Data!$G:$G,"AIA*",Data!$K:$K,"&lt;&gt;"&amp;"Trading")</f>
      </c>
      <c r="I6" s="248">
        <f>SUMIFS(Data!$AD:$AD,Data!$AC:$AC,"&gt;"&amp;I$1,Data!$AC:$AC,"&lt;="&amp;EOMONTH(I$1,0),Data!$G:$G,"AIA*",Data!$K:$K,"&lt;&gt;"&amp;"Trading")</f>
      </c>
      <c r="J6" s="248">
        <f>SUMIFS(Data!$AD:$AD,Data!$AC:$AC,"&gt;"&amp;J$1,Data!$AC:$AC,"&lt;="&amp;EOMONTH(J$1,0),Data!$G:$G,"AIA*",Data!$K:$K,"&lt;&gt;"&amp;"Trading")</f>
      </c>
      <c r="K6" s="248">
        <f>SUMIFS(Data!$AD:$AD,Data!$AC:$AC,"&gt;"&amp;K$1,Data!$AC:$AC,"&lt;="&amp;EOMONTH(K$1,0),Data!$G:$G,"AIA*",Data!$K:$K,"&lt;&gt;"&amp;"Trading")</f>
      </c>
      <c r="L6" s="248">
        <f>SUMIFS(Data!$AD:$AD,Data!$AC:$AC,"&gt;"&amp;L$1,Data!$AC:$AC,"&lt;="&amp;EOMONTH(L$1,0),Data!$G:$G,"AIA*",Data!$K:$K,"&lt;&gt;"&amp;"Trading")</f>
      </c>
      <c r="M6" s="248">
        <f>SUMIFS(Data!$AD:$AD,Data!$AC:$AC,"&gt;"&amp;M$1,Data!$AC:$AC,"&lt;="&amp;EOMONTH(M$1,0),Data!$G:$G,"AIA*",Data!$K:$K,"&lt;&gt;"&amp;"Trading")</f>
      </c>
      <c r="N6" s="248">
        <f>SUMIFS(Data!$AD:$AD,Data!$AC:$AC,"&gt;"&amp;N$1,Data!$AC:$AC,"&lt;="&amp;EOMONTH(N$1,0),Data!$G:$G,"AIA*",Data!$K:$K,"&lt;&gt;"&amp;"Trading")</f>
      </c>
      <c r="O6" s="249">
        <f>SUM(C6:N6)</f>
      </c>
      <c r="P6" s="3"/>
      <c r="Q6" s="3"/>
      <c r="R6" s="3"/>
      <c r="S6" s="3"/>
    </row>
    <row x14ac:dyDescent="0.25" r="7" customHeight="1" ht="19.5">
      <c r="A7" s="111" t="s">
        <v>352</v>
      </c>
      <c r="B7" s="241"/>
      <c r="C7" s="250">
        <f>SUMIFS(Data!$AD:$AD,Data!$AC:$AC,"&gt;"&amp;C$1,Data!$AC:$AC,"&lt;="&amp;EOMONTH(C$1,0),Data!$G:$G,"AIA*",Data!$K:$K,"Trading")</f>
      </c>
      <c r="D7" s="251">
        <f>SUMIFS(Data!$AD:$AD,Data!$AC:$AC,"&gt;"&amp;D$1,Data!$AC:$AC,"&lt;="&amp;EOMONTH(D$1,0),Data!$G:$G,"AIA*",Data!$K:$K,"Trading")</f>
      </c>
      <c r="E7" s="251">
        <f>SUMIFS(Data!$AD:$AD,Data!$AC:$AC,"&gt;"&amp;E$1,Data!$AC:$AC,"&lt;="&amp;EOMONTH(E$1,0),Data!$G:$G,"AIA*",Data!$K:$K,"Trading")</f>
      </c>
      <c r="F7" s="250">
        <f>SUMIFS(Data!$AD:$AD,Data!$AC:$AC,"&gt;"&amp;F$1,Data!$AC:$AC,"&lt;="&amp;EOMONTH(F$1,0),Data!$G:$G,"AIA*",Data!$K:$K,"Trading")</f>
      </c>
      <c r="G7" s="250">
        <f>SUMIFS(Data!$AD:$AD,Data!$AC:$AC,"&gt;"&amp;G$1,Data!$AC:$AC,"&lt;="&amp;EOMONTH(G$1,0),Data!$G:$G,"AIA*",Data!$K:$K,"Trading")</f>
      </c>
      <c r="H7" s="250">
        <f>SUMIFS(Data!$AD:$AD,Data!$AC:$AC,"&gt;"&amp;H$1,Data!$AC:$AC,"&lt;="&amp;EOMONTH(H$1,0),Data!$G:$G,"AIA*",Data!$K:$K,"Trading")</f>
      </c>
      <c r="I7" s="250">
        <f>SUMIFS(Data!$AD:$AD,Data!$AC:$AC,"&gt;"&amp;I$1,Data!$AC:$AC,"&lt;="&amp;EOMONTH(I$1,0),Data!$G:$G,"AIA*",Data!$K:$K,"Trading")</f>
      </c>
      <c r="J7" s="250">
        <f>SUMIFS(Data!$AD:$AD,Data!$AC:$AC,"&gt;"&amp;J$1,Data!$AC:$AC,"&lt;="&amp;EOMONTH(J$1,0),Data!$G:$G,"AIA*",Data!$K:$K,"Trading")</f>
      </c>
      <c r="K7" s="250">
        <f>SUMIFS(Data!$AD:$AD,Data!$AC:$AC,"&gt;"&amp;K$1,Data!$AC:$AC,"&lt;="&amp;EOMONTH(K$1,0),Data!$G:$G,"AIA*")</f>
      </c>
      <c r="L7" s="250">
        <f>SUMIFS(Data!$AD:$AD,Data!$AC:$AC,"&gt;"&amp;L$1,Data!$AC:$AC,"&lt;="&amp;EOMONTH(L$1,0),Data!$G:$G,"AIA*",Data!$K:$K,"Trading")</f>
      </c>
      <c r="M7" s="250">
        <f>SUMIFS(Data!$AD:$AD,Data!$AC:$AC,"&gt;"&amp;M$1,Data!$AC:$AC,"&lt;="&amp;EOMONTH(M$1,0),Data!$G:$G,"AIA*",Data!$K:$K,"Trading")</f>
      </c>
      <c r="N7" s="250">
        <f>SUMIFS(Data!$AD:$AD,Data!$AC:$AC,"&gt;"&amp;N$1,Data!$AC:$AC,"&lt;="&amp;EOMONTH(N$1,0),Data!$G:$G,"AIA*",Data!$K:$K,"Trading")</f>
      </c>
      <c r="O7" s="252">
        <f>SUM(C7:N7)</f>
      </c>
      <c r="P7" s="253">
        <f>O6+O7</f>
      </c>
      <c r="Q7" s="3"/>
      <c r="R7" s="3"/>
      <c r="S7" s="3"/>
    </row>
    <row x14ac:dyDescent="0.25" r="8" customHeight="1" ht="19.5">
      <c r="A8" s="3" t="s">
        <v>353</v>
      </c>
      <c r="B8" s="9">
        <f>P5-P7</f>
      </c>
      <c r="C8" s="254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233"/>
      <c r="P8" s="3"/>
      <c r="Q8" s="3"/>
      <c r="R8" s="3"/>
      <c r="S8" s="3"/>
    </row>
    <row x14ac:dyDescent="0.25" r="9" customHeight="1" ht="19.5">
      <c r="A9" s="3"/>
      <c r="B9" s="9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"/>
      <c r="P9" s="3"/>
      <c r="Q9" s="3"/>
      <c r="R9" s="3"/>
      <c r="S9" s="3"/>
    </row>
    <row x14ac:dyDescent="0.25" r="10" customHeight="1" ht="19.5">
      <c r="A10" s="3"/>
      <c r="B10" s="8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"/>
      <c r="P10" s="9"/>
      <c r="Q10" s="3"/>
      <c r="R10" s="3"/>
      <c r="S10" s="3"/>
    </row>
    <row x14ac:dyDescent="0.25" r="11" customHeight="1" ht="19.5">
      <c r="A11" s="3"/>
      <c r="B11" s="8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"/>
      <c r="P11" s="3"/>
      <c r="Q11" s="3"/>
      <c r="R11" s="3"/>
      <c r="S11" s="3"/>
    </row>
    <row x14ac:dyDescent="0.25" r="12" customHeight="1" ht="19.5">
      <c r="A12" s="3"/>
      <c r="B12" s="8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"/>
      <c r="P12" s="3"/>
      <c r="Q12" s="3"/>
      <c r="R12" s="3"/>
      <c r="S12" s="3"/>
    </row>
    <row x14ac:dyDescent="0.25" r="13" customHeight="1" ht="19.5">
      <c r="A13" s="3"/>
      <c r="B13" s="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"/>
      <c r="P13" s="3"/>
      <c r="Q13" s="3"/>
      <c r="R13" s="3"/>
      <c r="S13" s="3"/>
    </row>
    <row x14ac:dyDescent="0.25" r="14" customHeight="1" ht="19.5">
      <c r="A14" s="3"/>
      <c r="B14" s="8"/>
      <c r="C14" s="35"/>
      <c r="D14" s="35"/>
      <c r="E14" s="35"/>
      <c r="F14" s="35"/>
      <c r="G14" s="35"/>
      <c r="H14" s="35"/>
      <c r="I14" s="35"/>
      <c r="J14" s="10"/>
      <c r="K14" s="35"/>
      <c r="L14" s="35"/>
      <c r="M14" s="35"/>
      <c r="N14" s="35"/>
      <c r="O14" s="3"/>
      <c r="P14" s="3"/>
      <c r="Q14" s="3"/>
      <c r="R14" s="3"/>
      <c r="S14" s="3"/>
    </row>
    <row x14ac:dyDescent="0.25" r="15" customHeight="1" ht="19.5">
      <c r="A15" s="3"/>
      <c r="B15" s="8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"/>
      <c r="P15" s="3"/>
      <c r="Q15" s="3"/>
      <c r="R15" s="3"/>
      <c r="S15" s="3"/>
    </row>
    <row x14ac:dyDescent="0.25" r="16" customHeight="1" ht="19.5">
      <c r="A16" s="3"/>
      <c r="B16" s="8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"/>
      <c r="P16" s="3"/>
      <c r="Q16" s="3"/>
      <c r="R16" s="3"/>
      <c r="S16" s="3"/>
    </row>
    <row x14ac:dyDescent="0.25" r="17" customHeight="1" ht="19.5">
      <c r="A17" s="3"/>
      <c r="B17" s="8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"/>
      <c r="P17" s="3"/>
      <c r="Q17" s="3"/>
      <c r="R17" s="3"/>
      <c r="S17" s="3"/>
    </row>
    <row x14ac:dyDescent="0.25" r="18" customHeight="1" ht="19.5">
      <c r="A18" s="3"/>
      <c r="B18" s="8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"/>
      <c r="P18" s="3"/>
      <c r="Q18" s="3"/>
      <c r="R18" s="3"/>
      <c r="S18" s="3"/>
    </row>
    <row x14ac:dyDescent="0.25" r="19" customHeight="1" ht="19.5">
      <c r="A19" s="3"/>
      <c r="B19" s="31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"/>
      <c r="P19" s="3"/>
      <c r="Q19" s="3"/>
      <c r="R19" s="3"/>
      <c r="S19" s="3"/>
    </row>
    <row x14ac:dyDescent="0.25" r="20" customHeight="1" ht="19.5">
      <c r="A20" s="3"/>
      <c r="B20" s="8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"/>
      <c r="P20" s="3"/>
      <c r="Q20" s="3"/>
      <c r="R20" s="3"/>
      <c r="S20" s="3"/>
    </row>
    <row x14ac:dyDescent="0.25" r="21" customHeight="1" ht="19.5">
      <c r="A21" s="3"/>
      <c r="B21" s="8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"/>
      <c r="P21" s="3"/>
      <c r="Q21" s="3"/>
      <c r="R21" s="3"/>
      <c r="S21" s="3"/>
    </row>
    <row x14ac:dyDescent="0.25" r="22" customHeight="1" ht="19.5">
      <c r="A22" s="3"/>
      <c r="B22" s="8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"/>
      <c r="P22" s="3"/>
      <c r="Q22" s="3"/>
      <c r="R22" s="3"/>
      <c r="S22" s="3"/>
    </row>
    <row x14ac:dyDescent="0.25" r="23" customHeight="1" ht="19.5">
      <c r="A23" s="3"/>
      <c r="B23" s="8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"/>
      <c r="P23" s="3"/>
      <c r="Q23" s="3"/>
      <c r="R23" s="9"/>
      <c r="S23" s="3"/>
    </row>
    <row x14ac:dyDescent="0.25" r="24" customHeight="1" ht="19.5">
      <c r="A24" s="3"/>
      <c r="B24" s="8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"/>
      <c r="P24" s="3"/>
      <c r="Q24" s="3"/>
      <c r="R24" s="3"/>
      <c r="S24" s="3"/>
    </row>
    <row x14ac:dyDescent="0.25" r="25" customHeight="1" ht="19.5">
      <c r="A25" s="3"/>
      <c r="B25" s="8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"/>
      <c r="P25" s="3"/>
      <c r="Q25" s="3"/>
      <c r="R25" s="3"/>
      <c r="S25" s="3"/>
    </row>
    <row x14ac:dyDescent="0.25" r="26" customHeight="1" ht="19.5">
      <c r="A26" s="3"/>
      <c r="B26" s="8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"/>
      <c r="P26" s="3"/>
      <c r="Q26" s="3"/>
      <c r="R26" s="3"/>
      <c r="S26" s="3"/>
    </row>
    <row x14ac:dyDescent="0.25" r="27" customHeight="1" ht="19.5">
      <c r="A27" s="3"/>
      <c r="B27" s="8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"/>
      <c r="P27" s="3"/>
      <c r="Q27" s="3"/>
      <c r="R27" s="3"/>
      <c r="S27" s="3"/>
    </row>
    <row x14ac:dyDescent="0.25" r="28" customHeight="1" ht="19.5">
      <c r="A28" s="3"/>
      <c r="B28" s="8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"/>
      <c r="P28" s="3"/>
      <c r="Q28" s="3"/>
      <c r="R28" s="3"/>
      <c r="S28" s="3"/>
    </row>
    <row x14ac:dyDescent="0.25" r="29" customHeight="1" ht="19.5">
      <c r="A29" s="3"/>
      <c r="B29" s="8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"/>
      <c r="P29" s="3"/>
      <c r="Q29" s="3"/>
      <c r="R29" s="3"/>
      <c r="S29" s="3"/>
    </row>
    <row x14ac:dyDescent="0.25" r="30" customHeight="1" ht="19.5">
      <c r="A30" s="3"/>
      <c r="B30" s="8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"/>
      <c r="P30" s="3"/>
      <c r="Q30" s="3"/>
      <c r="R30" s="3"/>
      <c r="S30" s="3"/>
    </row>
    <row x14ac:dyDescent="0.25" r="31" customHeight="1" ht="19.5">
      <c r="A31" s="3"/>
      <c r="B31" s="8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"/>
      <c r="P31" s="3"/>
      <c r="Q31" s="3"/>
      <c r="R31" s="9"/>
      <c r="S31" s="3"/>
    </row>
    <row x14ac:dyDescent="0.25" r="32" customHeight="1" ht="19.5">
      <c r="A32" s="3"/>
      <c r="B32" s="8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"/>
      <c r="P32" s="3"/>
      <c r="Q32" s="3"/>
      <c r="R32" s="3"/>
      <c r="S32" s="9"/>
    </row>
    <row x14ac:dyDescent="0.25" r="33" customHeight="1" ht="19.5">
      <c r="A33" s="3"/>
      <c r="B33" s="8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"/>
      <c r="P33" s="3"/>
      <c r="Q33" s="3"/>
      <c r="R33" s="3"/>
      <c r="S33" s="3"/>
    </row>
    <row x14ac:dyDescent="0.25" r="34" customHeight="1" ht="19.5">
      <c r="A34" s="3"/>
      <c r="B34" s="8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"/>
      <c r="P34" s="3"/>
      <c r="Q34" s="3"/>
      <c r="R34" s="3"/>
      <c r="S34" s="3"/>
    </row>
    <row x14ac:dyDescent="0.25" r="35" customHeight="1" ht="19.5">
      <c r="A35" s="3"/>
      <c r="B35" s="8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"/>
      <c r="P35" s="3"/>
      <c r="Q35" s="3"/>
      <c r="R35" s="3"/>
      <c r="S35" s="3"/>
    </row>
    <row x14ac:dyDescent="0.25" r="36" customHeight="1" ht="19.5">
      <c r="A36" s="3"/>
      <c r="B36" s="8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"/>
      <c r="P36" s="3"/>
      <c r="Q36" s="3"/>
      <c r="R36" s="9"/>
      <c r="S36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15</vt:i4>
      </vt:variant>
    </vt:vector>
  </HeadingPairs>
  <TitlesOfParts>
    <vt:vector baseType="lpstr" size="15">
      <vt:lpstr>Key</vt:lpstr>
      <vt:lpstr>Data</vt:lpstr>
      <vt:lpstr>Weekly Data</vt:lpstr>
      <vt:lpstr>Reporting 2021</vt:lpstr>
      <vt:lpstr>Reporting 2022</vt:lpstr>
      <vt:lpstr>GRAPH NEW STRUCTURE</vt:lpstr>
      <vt:lpstr>Monthly Data</vt:lpstr>
      <vt:lpstr>Reporting</vt:lpstr>
      <vt:lpstr>AIA</vt:lpstr>
      <vt:lpstr>FCP+AIA</vt:lpstr>
      <vt:lpstr>Forecast 2020</vt:lpstr>
      <vt:lpstr>Daily Tracking</vt:lpstr>
      <vt:lpstr>Delivery Plan</vt:lpstr>
      <vt:lpstr>Reconciliation SOLUNE vs SAP</vt:lpstr>
      <vt:lpstr>GroupExport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2022-04-21T14:08:31.948Z</dcterms:created>
  <dcterms:modified xsi:type="dcterms:W3CDTF">2022-04-21T14:08:31.948Z</dcterms:modified>
</cp:coreProperties>
</file>